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9120" tabRatio="790" activeTab="0"/>
  </bookViews>
  <sheets>
    <sheet name="入力表" sheetId="1" r:id="rId1"/>
    <sheet name="設計方針" sheetId="2" r:id="rId2"/>
    <sheet name="RIB" sheetId="3" r:id="rId3"/>
    <sheet name="WEB" sheetId="4" r:id="rId4"/>
    <sheet name="STIF1" sheetId="5" r:id="rId5"/>
    <sheet name="STIF2" sheetId="6" r:id="rId6"/>
    <sheet name="引張接合" sheetId="7" r:id="rId7"/>
    <sheet name="主桁" sheetId="8" r:id="rId8"/>
    <sheet name="CON1" sheetId="9" r:id="rId9"/>
    <sheet name="CON2" sheetId="10" r:id="rId10"/>
  </sheets>
  <definedNames>
    <definedName name="H" localSheetId="6">'入力表'!$D$20</definedName>
    <definedName name="H">'入力表'!$D$20</definedName>
    <definedName name="P" localSheetId="6">'設計方針'!$K$22</definedName>
    <definedName name="P" localSheetId="7">'設計方針'!$G$25</definedName>
    <definedName name="P">'設計方針'!$K$22</definedName>
    <definedName name="_xlnm.Print_Area" localSheetId="8">'CON1'!$A$1:$Q$53</definedName>
    <definedName name="_xlnm.Print_Area" localSheetId="9">'CON2'!$A$1:$R$54</definedName>
    <definedName name="_xlnm.Print_Area" localSheetId="2">'RIB'!$A$1:$S$45</definedName>
    <definedName name="_xlnm.Print_Area" localSheetId="3">'WEB'!$A$1:$S$48</definedName>
    <definedName name="_xlnm.Print_Area" localSheetId="6">'引張接合'!$A$1:$I$146</definedName>
    <definedName name="_xlnm.Print_Area" localSheetId="1">'設計方針'!$A$1:$R$47</definedName>
    <definedName name="_xlnm.Print_Area" localSheetId="0">'入力表'!$A$1:$P$54</definedName>
    <definedName name="solver_adj" localSheetId="6" hidden="1">'引張接合'!$C$84</definedName>
    <definedName name="solver_cvg" localSheetId="6" hidden="1">0.0001</definedName>
    <definedName name="solver_drv" localSheetId="6" hidden="1">1</definedName>
    <definedName name="solver_est" localSheetId="6" hidden="1">1</definedName>
    <definedName name="solver_itr" localSheetId="6" hidden="1">100</definedName>
    <definedName name="solver_lin" localSheetId="6" hidden="1">2</definedName>
    <definedName name="solver_neg" localSheetId="6" hidden="1">2</definedName>
    <definedName name="solver_num" localSheetId="6" hidden="1">0</definedName>
    <definedName name="solver_nwt" localSheetId="6" hidden="1">1</definedName>
    <definedName name="solver_opt" localSheetId="6" hidden="1">'引張接合'!$J$84</definedName>
    <definedName name="solver_pre" localSheetId="6" hidden="1">0.000001</definedName>
    <definedName name="solver_scl" localSheetId="6" hidden="1">2</definedName>
    <definedName name="solver_sho" localSheetId="6" hidden="1">2</definedName>
    <definedName name="solver_tim" localSheetId="6" hidden="1">100</definedName>
    <definedName name="solver_tol" localSheetId="6" hidden="1">0.05</definedName>
    <definedName name="solver_typ" localSheetId="6" hidden="1">3</definedName>
    <definedName name="solver_val" localSheetId="6" hidden="1">0</definedName>
    <definedName name="ｹｰﾌﾞﾙﾀｲﾌﾟ">'入力表'!$D$8</definedName>
  </definedNames>
  <calcPr fullCalcOnLoad="1"/>
</workbook>
</file>

<file path=xl/sharedStrings.xml><?xml version="1.0" encoding="utf-8"?>
<sst xmlns="http://schemas.openxmlformats.org/spreadsheetml/2006/main" count="1090" uniqueCount="722">
  <si>
    <t>１．設計方針</t>
  </si>
  <si>
    <t>mmとする。</t>
  </si>
  <si>
    <t>２．ＰＣケーブルの選定</t>
  </si>
  <si>
    <t>この荷重を</t>
  </si>
  <si>
    <t>本のケーブルで負担する。</t>
  </si>
  <si>
    <t>＝</t>
  </si>
  <si>
    <t>／</t>
  </si>
  <si>
    <t>ＰＣケーブル</t>
  </si>
  <si>
    <t>：</t>
  </si>
  <si>
    <t xml:space="preserve">構成     </t>
  </si>
  <si>
    <t xml:space="preserve">断面積   </t>
  </si>
  <si>
    <t>Ｐａ ＝</t>
  </si>
  <si>
    <t>Ｐｙ＝</t>
  </si>
  <si>
    <t>≧</t>
  </si>
  <si>
    <t>３．緩衝材</t>
  </si>
  <si>
    <t>×</t>
  </si>
  <si>
    <t>Ａ＝</t>
  </si>
  <si>
    <t>mm</t>
  </si>
  <si>
    <t>スプリングの使用数量</t>
  </si>
  <si>
    <t>ｎ＝</t>
  </si>
  <si>
    <t>個</t>
  </si>
  <si>
    <t>移動可能量</t>
  </si>
  <si>
    <t>桁の移動量／使用数量</t>
  </si>
  <si>
    <t>最大変形後の長さ</t>
  </si>
  <si>
    <t>スプリング径の</t>
  </si>
  <si>
    <t>必要長さ</t>
  </si>
  <si>
    <t>δ＝</t>
  </si>
  <si>
    <t>Ｐ＝</t>
  </si>
  <si>
    <t>Ｈ＝</t>
  </si>
  <si>
    <t>ａ＝</t>
  </si>
  <si>
    <t>ｔ1＝</t>
  </si>
  <si>
    <t>ｂ＝</t>
  </si>
  <si>
    <t>ｔ2＝</t>
  </si>
  <si>
    <t>Ｌ＝</t>
  </si>
  <si>
    <t>枚数</t>
  </si>
  <si>
    <t>長さ(mm)</t>
  </si>
  <si>
    <t>厚さ(mm)</t>
  </si>
  <si>
    <t>FLG</t>
  </si>
  <si>
    <t>RIB</t>
  </si>
  <si>
    <t>Σ</t>
  </si>
  <si>
    <t>－</t>
  </si>
  <si>
    <t>ｅ＝</t>
  </si>
  <si>
    <t>Ⅰ＝</t>
  </si>
  <si>
    <t>＋</t>
  </si>
  <si>
    <t>Ｍ＝</t>
  </si>
  <si>
    <t>σt＝</t>
  </si>
  <si>
    <t>＜</t>
  </si>
  <si>
    <t>／ (</t>
  </si>
  <si>
    <t>)</t>
  </si>
  <si>
    <t>ｔ3＝</t>
  </si>
  <si>
    <t>Ｐ・Ｈ</t>
  </si>
  <si>
    <t>Ｓ＝</t>
  </si>
  <si>
    <t>ρ＝</t>
  </si>
  <si>
    <t>呼称</t>
  </si>
  <si>
    <t>Ｐｕ</t>
  </si>
  <si>
    <t>Ｐｙ</t>
  </si>
  <si>
    <t>断面積</t>
  </si>
  <si>
    <t>ｎ*ｙ1</t>
  </si>
  <si>
    <t>ｙ</t>
  </si>
  <si>
    <r>
      <t>n*ｙ</t>
    </r>
    <r>
      <rPr>
        <vertAlign val="superscript"/>
        <sz val="11"/>
        <rFont val="ＭＳ Ｐゴシック"/>
        <family val="3"/>
      </rPr>
      <t>2</t>
    </r>
  </si>
  <si>
    <r>
      <t xml:space="preserve">     全死荷重反力  ΣＲ</t>
    </r>
    <r>
      <rPr>
        <vertAlign val="subscript"/>
        <sz val="11"/>
        <rFont val="ＭＳ Ｐゴシック"/>
        <family val="3"/>
      </rPr>
      <t>ｄ</t>
    </r>
    <r>
      <rPr>
        <sz val="11"/>
        <rFont val="ＭＳ Ｐゴシック"/>
        <family val="3"/>
      </rPr>
      <t>=</t>
    </r>
  </si>
  <si>
    <t>σt</t>
  </si>
  <si>
    <t>Py=</t>
  </si>
  <si>
    <t>㎜</t>
  </si>
  <si>
    <t>㎜</t>
  </si>
  <si>
    <t>採用鋼種</t>
  </si>
  <si>
    <t>SM400A</t>
  </si>
  <si>
    <t>SM490A</t>
  </si>
  <si>
    <t>SMA400AW</t>
  </si>
  <si>
    <t>SMA490AW</t>
  </si>
  <si>
    <t>鋼材:</t>
  </si>
  <si>
    <t>使用鋼材:</t>
  </si>
  <si>
    <t>高力ボルト</t>
  </si>
  <si>
    <t>一面摩擦許容応力度</t>
  </si>
  <si>
    <t>引張許容応力度</t>
  </si>
  <si>
    <t>採用ボルト</t>
  </si>
  <si>
    <t>材質:</t>
  </si>
  <si>
    <t>２．画面上 青色のｾﾙはリストより選択してください。</t>
  </si>
  <si>
    <t>ＰＣケーブル定着部の支圧板として、ＳＳ４００材を用いる。</t>
  </si>
  <si>
    <t>倍とすると、</t>
  </si>
  <si>
    <t>５．ブラケット</t>
  </si>
  <si>
    <t>せん断面積</t>
  </si>
  <si>
    <t>S10T,M22</t>
  </si>
  <si>
    <t>ゴム厚さ</t>
  </si>
  <si>
    <t>桁移動量</t>
  </si>
  <si>
    <t>余裕量</t>
  </si>
  <si>
    <t>枚</t>
  </si>
  <si>
    <t>ゴム枚数</t>
  </si>
  <si>
    <t>支圧板寸法　</t>
  </si>
  <si>
    <t>①</t>
  </si>
  <si>
    <t>②</t>
  </si>
  <si>
    <t>定着部補強ﾘﾌﾞの設計</t>
  </si>
  <si>
    <t>ﾌﾞﾗｹｯﾄ本体の設計</t>
  </si>
  <si>
    <t>各列のボルト本数</t>
  </si>
  <si>
    <t>ボルト中心軸から各列までの距離:y  (mm)</t>
  </si>
  <si>
    <t>圧縮側縁端から各ボルトまでの距離</t>
  </si>
  <si>
    <t>本</t>
  </si>
  <si>
    <t>ナット径</t>
  </si>
  <si>
    <t>ケーブルおよび付属品</t>
  </si>
  <si>
    <t>支圧板/緩衝材</t>
  </si>
  <si>
    <t>支圧板穴径</t>
  </si>
  <si>
    <t>支圧板板厚</t>
  </si>
  <si>
    <t>スプリング線径</t>
  </si>
  <si>
    <t>シース管径</t>
  </si>
  <si>
    <t>標準ブラケット寸法</t>
  </si>
  <si>
    <t>採用ﾀｲﾌﾟ</t>
  </si>
  <si>
    <t>支圧面積</t>
  </si>
  <si>
    <t>４．スプリング</t>
  </si>
  <si>
    <t>桁の温度伸縮及び地震時の移動量を確保するためにスプリングを用いる。</t>
  </si>
  <si>
    <t>スプリングの長さは、地震時の桁の移動可能量及びスプリングの最大変形後の長さを考慮し、求める。</t>
  </si>
  <si>
    <t>×</t>
  </si>
  <si>
    <t>／</t>
  </si>
  <si>
    <t>降伏荷重（Ｐy）</t>
  </si>
  <si>
    <t>外形</t>
  </si>
  <si>
    <t>穴径 φ</t>
  </si>
  <si>
    <t>kN</t>
  </si>
  <si>
    <t>ケーブル1本当りの許容引張力 Ｐａ は、</t>
  </si>
  <si>
    <t>落橋防止構造の許容耐力は割増係数 1.5 を考慮するが、 1.5×Ｐａ＞Ｐｙとなるのでここでは、Ｐｙを割増係数を 考慮した許容耐力とする。</t>
  </si>
  <si>
    <t>　　</t>
  </si>
  <si>
    <t>ＰＣケーブル定着部の緩衝材として、硬度５５±５°のクロロプレンゴムを用いる。</t>
  </si>
  <si>
    <t>厚さ ｔ＝</t>
  </si>
  <si>
    <t>倍とする</t>
  </si>
  <si>
    <t>したがって、使用するスプリングの長さは</t>
  </si>
  <si>
    <t>Ｐ＝ ＨＦ／ｎ＝</t>
  </si>
  <si>
    <t>σｃａ’＝ 1.5×σｃａ＝</t>
  </si>
  <si>
    <t>したがって 緩衝材の必要面積 Ａｒｅｑ は</t>
  </si>
  <si>
    <t xml:space="preserve"> Ａｒｅｑ＝Ｐ／σｃａ’＝</t>
  </si>
  <si>
    <t>δ１＝</t>
  </si>
  <si>
    <t>δ２＝</t>
  </si>
  <si>
    <t>δ１＋δ２</t>
  </si>
  <si>
    <t>入力表</t>
  </si>
  <si>
    <t>判定表</t>
  </si>
  <si>
    <t>結果</t>
  </si>
  <si>
    <t>判定</t>
  </si>
  <si>
    <t>ﾃｰﾊﾟｰﾌﾟﾚｰﾄ</t>
  </si>
  <si>
    <t>物件名</t>
  </si>
  <si>
    <t>距離</t>
  </si>
  <si>
    <t>本数 n</t>
  </si>
  <si>
    <t>累積距離 y1</t>
  </si>
  <si>
    <t>１）ケーブル</t>
  </si>
  <si>
    <t>１）ケーブル選定</t>
  </si>
  <si>
    <r>
      <t>k</t>
    </r>
    <r>
      <rPr>
        <sz val="11"/>
        <rFont val="ＭＳ Ｐゴシック"/>
        <family val="3"/>
      </rPr>
      <t>N</t>
    </r>
  </si>
  <si>
    <t>ケーブル本数</t>
  </si>
  <si>
    <r>
      <t>k</t>
    </r>
    <r>
      <rPr>
        <sz val="11"/>
        <rFont val="ＭＳ Ｐゴシック"/>
        <family val="3"/>
      </rPr>
      <t>N</t>
    </r>
  </si>
  <si>
    <t>㎜</t>
  </si>
  <si>
    <t>α</t>
  </si>
  <si>
    <t>㎜</t>
  </si>
  <si>
    <t>㎜</t>
  </si>
  <si>
    <t>σt</t>
  </si>
  <si>
    <t>個数</t>
  </si>
  <si>
    <t>個</t>
  </si>
  <si>
    <t>σc</t>
  </si>
  <si>
    <t>α</t>
  </si>
  <si>
    <t>㎜</t>
  </si>
  <si>
    <t>使用ｽﾌﾟﾘﾝｸﾞ長さ</t>
  </si>
  <si>
    <t>３）ブラケット</t>
  </si>
  <si>
    <t>偏心量</t>
  </si>
  <si>
    <t>合計</t>
  </si>
  <si>
    <t>ｎ</t>
  </si>
  <si>
    <t>ﾎﾞﾙﾄ中心軸</t>
  </si>
  <si>
    <t>BASE</t>
  </si>
  <si>
    <t>幅</t>
  </si>
  <si>
    <t>長さ</t>
  </si>
  <si>
    <t>変更値</t>
  </si>
  <si>
    <t>採用値</t>
  </si>
  <si>
    <t>×</t>
  </si>
  <si>
    <t>ＦＬＧ厚</t>
  </si>
  <si>
    <t>ブラケット</t>
  </si>
  <si>
    <t>σt(N/mm2)</t>
  </si>
  <si>
    <t>τ(N/mm2)</t>
  </si>
  <si>
    <t>ＦＬＧ幅</t>
  </si>
  <si>
    <r>
      <t>F10T</t>
    </r>
    <r>
      <rPr>
        <sz val="11"/>
        <rFont val="ＭＳ Ｐゴシック"/>
        <family val="3"/>
      </rPr>
      <t>,M22</t>
    </r>
  </si>
  <si>
    <t>ＦＬＧ高さ</t>
  </si>
  <si>
    <t>SM400B</t>
  </si>
  <si>
    <t>F8T,M22</t>
  </si>
  <si>
    <t>ＲＩＢ厚</t>
  </si>
  <si>
    <t>S10T,M22</t>
  </si>
  <si>
    <t>ＲＩＢ長さ</t>
  </si>
  <si>
    <t>SM490B</t>
  </si>
  <si>
    <t>S10TW,M22</t>
  </si>
  <si>
    <t>ＲＩＢ側web間隔</t>
  </si>
  <si>
    <t>ＷＥＢ厚</t>
  </si>
  <si>
    <r>
      <t>R</t>
    </r>
    <r>
      <rPr>
        <sz val="11"/>
        <rFont val="ＭＳ Ｐゴシック"/>
        <family val="3"/>
      </rPr>
      <t>IB側WEB長さ</t>
    </r>
  </si>
  <si>
    <t>SMA400BW</t>
  </si>
  <si>
    <t>背面WEB長さ</t>
  </si>
  <si>
    <t>採用値は有効幅 12*ｔ も考慮する</t>
  </si>
  <si>
    <t>SMA490BW</t>
  </si>
  <si>
    <t>σt(N/mm2)</t>
  </si>
  <si>
    <t>τ(N/mm2)</t>
  </si>
  <si>
    <t>１．画面上 緑色のｾﾙに 必要事項を入力してください。</t>
  </si>
  <si>
    <t xml:space="preserve">     </t>
  </si>
  <si>
    <t>σt＝</t>
  </si>
  <si>
    <t>N</t>
  </si>
  <si>
    <t>Ｙ(mm)</t>
  </si>
  <si>
    <t>α＝</t>
  </si>
  <si>
    <t>ｂ1＝</t>
  </si>
  <si>
    <t>ｂ2＝</t>
  </si>
  <si>
    <t>N･mm</t>
  </si>
  <si>
    <t>FLG</t>
  </si>
  <si>
    <t>WEB1</t>
  </si>
  <si>
    <t>WEB2</t>
  </si>
  <si>
    <t>e＝</t>
  </si>
  <si>
    <t>＝</t>
  </si>
  <si>
    <t>－</t>
  </si>
  <si>
    <t>×</t>
  </si>
  <si>
    <t>σc＝</t>
  </si>
  <si>
    <t>圧縮縁端側からボルト中心軸までの距離:ｅ (mm)</t>
  </si>
  <si>
    <t>ボルト中心軸から引張側ボルトまでの最大値</t>
  </si>
  <si>
    <t>mm</t>
  </si>
  <si>
    <t>mmとする。</t>
  </si>
  <si>
    <t>（</t>
  </si>
  <si>
    <t>×</t>
  </si>
  <si>
    <t>）</t>
  </si>
  <si>
    <t>＝</t>
  </si>
  <si>
    <t>＝</t>
  </si>
  <si>
    <t>≦</t>
  </si>
  <si>
    <t>＋</t>
  </si>
  <si>
    <t>π</t>
  </si>
  <si>
    <t>mm</t>
  </si>
  <si>
    <t>ｎ＝</t>
  </si>
  <si>
    <t>Ｂ＝(</t>
  </si>
  <si>
    <t>)×</t>
  </si>
  <si>
    <t>＋(</t>
  </si>
  <si>
    <t>Ｐ×sin15°</t>
  </si>
  <si>
    <t>ｑ＝</t>
  </si>
  <si>
    <t>σｔ＝</t>
  </si>
  <si>
    <t>τ＝</t>
  </si>
  <si>
    <t>Yt＝</t>
  </si>
  <si>
    <t>Ｐ×sin30°</t>
  </si>
  <si>
    <t>偏向具長さ</t>
  </si>
  <si>
    <t>Ｈ＝</t>
  </si>
  <si>
    <t>t2＝</t>
  </si>
  <si>
    <t>t4＝</t>
  </si>
  <si>
    <t>③</t>
  </si>
  <si>
    <t>偏向具取付け部の設計</t>
  </si>
  <si>
    <t>④</t>
  </si>
  <si>
    <t>V.Stiff厚さ</t>
  </si>
  <si>
    <t>H.Stiff厚さ</t>
  </si>
  <si>
    <t>取付枚数</t>
  </si>
  <si>
    <r>
      <t>σc</t>
    </r>
    <r>
      <rPr>
        <sz val="11"/>
        <rFont val="ＭＳ Ｐゴシック"/>
        <family val="3"/>
      </rPr>
      <t>k</t>
    </r>
  </si>
  <si>
    <t>στa</t>
  </si>
  <si>
    <t>採用σck</t>
  </si>
  <si>
    <t>４）高力ボルト</t>
  </si>
  <si>
    <t>ボルト配置</t>
  </si>
  <si>
    <t>ブラケット構成</t>
  </si>
  <si>
    <t>ケーブル間隔＝</t>
  </si>
  <si>
    <r>
      <t>コンクリート設計基準強度σc</t>
    </r>
    <r>
      <rPr>
        <sz val="11"/>
        <rFont val="ＭＳ Ｐゴシック"/>
        <family val="3"/>
      </rPr>
      <t>k</t>
    </r>
    <r>
      <rPr>
        <sz val="11"/>
        <rFont val="ＭＳ Ｐゴシック"/>
        <family val="3"/>
      </rPr>
      <t>=</t>
    </r>
  </si>
  <si>
    <r>
      <t>√(Ac/Ab</t>
    </r>
    <r>
      <rPr>
        <sz val="11"/>
        <rFont val="ＭＳ Ｐゴシック"/>
        <family val="3"/>
      </rPr>
      <t>)</t>
    </r>
    <r>
      <rPr>
        <sz val="11"/>
        <rFont val="ＭＳ Ｐゴシック"/>
        <family val="3"/>
      </rPr>
      <t>=</t>
    </r>
  </si>
  <si>
    <r>
      <t>τc</t>
    </r>
    <r>
      <rPr>
        <sz val="11"/>
        <rFont val="ＭＳ Ｐゴシック"/>
        <family val="3"/>
      </rPr>
      <t>a</t>
    </r>
    <r>
      <rPr>
        <sz val="11"/>
        <rFont val="ＭＳ Ｐゴシック"/>
        <family val="3"/>
      </rPr>
      <t>=</t>
    </r>
  </si>
  <si>
    <t>補強板</t>
  </si>
  <si>
    <t>σc</t>
  </si>
  <si>
    <t>FLG幅</t>
  </si>
  <si>
    <t>WEB_RIB側</t>
  </si>
  <si>
    <t>WEB_背面</t>
  </si>
  <si>
    <t>ｔ１(FLG)</t>
  </si>
  <si>
    <t>ｔ２(RIB)</t>
  </si>
  <si>
    <t>ｔ３(WEB)</t>
  </si>
  <si>
    <t>RIB_a(有効幅)</t>
  </si>
  <si>
    <t>RIB_ｂ（長さ）</t>
  </si>
  <si>
    <t>Ｌ（RIB側WEB間隔）</t>
  </si>
  <si>
    <r>
      <t>V.</t>
    </r>
    <r>
      <rPr>
        <sz val="11"/>
        <rFont val="ＭＳ Ｐゴシック"/>
        <family val="3"/>
      </rPr>
      <t>S</t>
    </r>
    <r>
      <rPr>
        <sz val="11"/>
        <rFont val="ＭＳ Ｐゴシック"/>
        <family val="3"/>
      </rPr>
      <t>tiff幅</t>
    </r>
  </si>
  <si>
    <r>
      <t>H</t>
    </r>
    <r>
      <rPr>
        <sz val="11"/>
        <rFont val="ＭＳ Ｐゴシック"/>
        <family val="3"/>
      </rPr>
      <t>.Stiff幅</t>
    </r>
  </si>
  <si>
    <t>幅(mm)</t>
  </si>
  <si>
    <t>必要本数</t>
  </si>
  <si>
    <t>1列目</t>
  </si>
  <si>
    <t>2列目</t>
  </si>
  <si>
    <t>3列目</t>
  </si>
  <si>
    <t>4列目</t>
  </si>
  <si>
    <t>5列目</t>
  </si>
  <si>
    <t>6列目</t>
  </si>
  <si>
    <t>7列目</t>
  </si>
  <si>
    <t>8列目</t>
  </si>
  <si>
    <t>9列目</t>
  </si>
  <si>
    <t>10列目</t>
  </si>
  <si>
    <t>11列目</t>
  </si>
  <si>
    <t>12列目</t>
  </si>
  <si>
    <t>13列目</t>
  </si>
  <si>
    <t>14列目</t>
  </si>
  <si>
    <t>15列目</t>
  </si>
  <si>
    <t>合計本数</t>
  </si>
  <si>
    <t>前web間</t>
  </si>
  <si>
    <t>前web外</t>
  </si>
  <si>
    <t>後全体</t>
  </si>
  <si>
    <t>耐圧板1辺の長さ l=</t>
  </si>
  <si>
    <t>支圧板１辺の長さ=</t>
  </si>
  <si>
    <t>後WEB間隔</t>
  </si>
  <si>
    <r>
      <t>SM490</t>
    </r>
    <r>
      <rPr>
        <sz val="11"/>
        <rFont val="ＭＳ Ｐゴシック"/>
        <family val="3"/>
      </rPr>
      <t>Y</t>
    </r>
    <r>
      <rPr>
        <sz val="11"/>
        <rFont val="ＭＳ Ｐゴシック"/>
        <family val="3"/>
      </rPr>
      <t>B</t>
    </r>
  </si>
  <si>
    <t>橋台(桁)と桁間をＰＣｹｰﾌﾞﾙで連結し、地震により橋台(桁)と桁間に過大な相対変位を生じたときに桁が橋台(橋脚)から落下するのを防止する。</t>
  </si>
  <si>
    <t>ＰＣｹｰﾌﾞﾙは、橋台(桁)と桁の間に相対変位を生じたときに、すぐに効きはじめるのではなく桁の移動量を十分に確保し、ある一定以上の相対変位が生じてから効きはじめる構造とする。</t>
  </si>
  <si>
    <t>ＰＣｹｰﾌﾞﾙは、桁の温度変化による移動などの機能を損なわない構造とする。</t>
  </si>
  <si>
    <t>ＰＣｹｰﾌﾞﾙは、地震による桁の橋軸直角方向への移動にも追随し、衝撃的な地震力を緩和できる構造とする。</t>
  </si>
  <si>
    <t>全死荷重反力  ΣＲｄ=</t>
  </si>
  <si>
    <t>kN</t>
  </si>
  <si>
    <t>ＰＣケーブルに作用する設計地震力は、</t>
  </si>
  <si>
    <t>ＨＦ ＝  1.5・ΣＲｄ  ＝</t>
  </si>
  <si>
    <t>ケーブル1本当りの設計張力 Ｐ は、</t>
  </si>
  <si>
    <t>kNを使用</t>
  </si>
  <si>
    <t>引張荷重（Ｐｕ）</t>
  </si>
  <si>
    <r>
      <t>N/mm</t>
    </r>
    <r>
      <rPr>
        <vertAlign val="superscript"/>
        <sz val="10.5"/>
        <rFont val="ＭＳ Ｐ明朝"/>
        <family val="1"/>
      </rPr>
      <t>2</t>
    </r>
  </si>
  <si>
    <r>
      <t>Ａ(mm</t>
    </r>
    <r>
      <rPr>
        <vertAlign val="superscript"/>
        <sz val="10.5"/>
        <rFont val="ＭＳ Ｐ明朝"/>
        <family val="1"/>
      </rPr>
      <t>2</t>
    </r>
    <r>
      <rPr>
        <sz val="10.5"/>
        <rFont val="ＭＳ Ｐ明朝"/>
        <family val="1"/>
      </rPr>
      <t>)</t>
    </r>
  </si>
  <si>
    <r>
      <t>ＡＹ(mm</t>
    </r>
    <r>
      <rPr>
        <vertAlign val="superscript"/>
        <sz val="10.5"/>
        <rFont val="ＭＳ Ｐ明朝"/>
        <family val="1"/>
      </rPr>
      <t>3</t>
    </r>
    <r>
      <rPr>
        <sz val="10.5"/>
        <rFont val="ＭＳ Ｐ明朝"/>
        <family val="1"/>
      </rPr>
      <t>)</t>
    </r>
  </si>
  <si>
    <r>
      <t>ＡＹ</t>
    </r>
    <r>
      <rPr>
        <vertAlign val="superscript"/>
        <sz val="10.5"/>
        <rFont val="ＭＳ Ｐ明朝"/>
        <family val="1"/>
      </rPr>
      <t>2</t>
    </r>
    <r>
      <rPr>
        <sz val="10.5"/>
        <rFont val="ＭＳ Ｐ明朝"/>
        <family val="1"/>
      </rPr>
      <t>(mm</t>
    </r>
    <r>
      <rPr>
        <vertAlign val="superscript"/>
        <sz val="10.5"/>
        <rFont val="ＭＳ Ｐ明朝"/>
        <family val="1"/>
      </rPr>
      <t>4</t>
    </r>
    <r>
      <rPr>
        <sz val="10.5"/>
        <rFont val="ＭＳ Ｐ明朝"/>
        <family val="1"/>
      </rPr>
      <t>)</t>
    </r>
  </si>
  <si>
    <r>
      <t>Ⅰo(mm</t>
    </r>
    <r>
      <rPr>
        <vertAlign val="superscript"/>
        <sz val="10.5"/>
        <rFont val="ＭＳ Ｐ明朝"/>
        <family val="1"/>
      </rPr>
      <t>4</t>
    </r>
    <r>
      <rPr>
        <sz val="10.5"/>
        <rFont val="ＭＳ Ｐ明朝"/>
        <family val="1"/>
      </rPr>
      <t>)</t>
    </r>
  </si>
  <si>
    <r>
      <t>AY</t>
    </r>
    <r>
      <rPr>
        <vertAlign val="superscript"/>
        <sz val="10.5"/>
        <rFont val="ＭＳ Ｐ明朝"/>
        <family val="1"/>
      </rPr>
      <t>2</t>
    </r>
    <r>
      <rPr>
        <sz val="10.5"/>
        <rFont val="ＭＳ Ｐ明朝"/>
        <family val="1"/>
      </rPr>
      <t>(mm</t>
    </r>
    <r>
      <rPr>
        <vertAlign val="superscript"/>
        <sz val="10.5"/>
        <rFont val="ＭＳ Ｐ明朝"/>
        <family val="1"/>
      </rPr>
      <t>4</t>
    </r>
    <r>
      <rPr>
        <sz val="10.5"/>
        <rFont val="ＭＳ Ｐ明朝"/>
        <family val="1"/>
      </rPr>
      <t>)</t>
    </r>
  </si>
  <si>
    <t>(１)水平方向</t>
  </si>
  <si>
    <t>L4＝</t>
  </si>
  <si>
    <t>L＝</t>
  </si>
  <si>
    <r>
      <t>Ａ(mm</t>
    </r>
    <r>
      <rPr>
        <vertAlign val="superscript"/>
        <sz val="10.5"/>
        <rFont val="ＭＳ Ｐ明朝"/>
        <family val="1"/>
      </rPr>
      <t>2</t>
    </r>
    <r>
      <rPr>
        <sz val="10.5"/>
        <rFont val="ＭＳ Ｐ明朝"/>
        <family val="1"/>
      </rPr>
      <t>)</t>
    </r>
  </si>
  <si>
    <t>Ｙ(mm)</t>
  </si>
  <si>
    <r>
      <t>ＡＹ(mm</t>
    </r>
    <r>
      <rPr>
        <vertAlign val="superscript"/>
        <sz val="10.5"/>
        <rFont val="ＭＳ Ｐ明朝"/>
        <family val="1"/>
      </rPr>
      <t>3</t>
    </r>
    <r>
      <rPr>
        <sz val="10.5"/>
        <rFont val="ＭＳ Ｐ明朝"/>
        <family val="1"/>
      </rPr>
      <t>)</t>
    </r>
  </si>
  <si>
    <r>
      <t>AY</t>
    </r>
    <r>
      <rPr>
        <vertAlign val="superscript"/>
        <sz val="10.5"/>
        <rFont val="ＭＳ Ｐ明朝"/>
        <family val="1"/>
      </rPr>
      <t>2</t>
    </r>
    <r>
      <rPr>
        <sz val="10.5"/>
        <rFont val="ＭＳ Ｐ明朝"/>
        <family val="1"/>
      </rPr>
      <t>(mm</t>
    </r>
    <r>
      <rPr>
        <vertAlign val="superscript"/>
        <sz val="10.5"/>
        <rFont val="ＭＳ Ｐ明朝"/>
        <family val="1"/>
      </rPr>
      <t>4</t>
    </r>
    <r>
      <rPr>
        <sz val="10.5"/>
        <rFont val="ＭＳ Ｐ明朝"/>
        <family val="1"/>
      </rPr>
      <t>)</t>
    </r>
  </si>
  <si>
    <r>
      <t>Ⅰo(mm</t>
    </r>
    <r>
      <rPr>
        <vertAlign val="superscript"/>
        <sz val="10.5"/>
        <rFont val="ＭＳ Ｐ明朝"/>
        <family val="1"/>
      </rPr>
      <t>4</t>
    </r>
    <r>
      <rPr>
        <sz val="10.5"/>
        <rFont val="ＭＳ Ｐ明朝"/>
        <family val="1"/>
      </rPr>
      <t>)</t>
    </r>
  </si>
  <si>
    <t>RIB</t>
  </si>
  <si>
    <t>STIFF</t>
  </si>
  <si>
    <r>
      <t>Ｐ</t>
    </r>
    <r>
      <rPr>
        <vertAlign val="subscript"/>
        <sz val="11"/>
        <rFont val="ＭＳ Ｐ明朝"/>
        <family val="1"/>
      </rPr>
      <t>H</t>
    </r>
    <r>
      <rPr>
        <sz val="11"/>
        <rFont val="ＭＳ Ｐ明朝"/>
        <family val="1"/>
      </rPr>
      <t>＝</t>
    </r>
  </si>
  <si>
    <t>N</t>
  </si>
  <si>
    <r>
      <t>Ｐ</t>
    </r>
    <r>
      <rPr>
        <vertAlign val="subscript"/>
        <sz val="11"/>
        <rFont val="ＭＳ Ｐ明朝"/>
        <family val="1"/>
      </rPr>
      <t>H</t>
    </r>
    <r>
      <rPr>
        <sz val="11"/>
        <rFont val="ＭＳ Ｐ明朝"/>
        <family val="1"/>
      </rPr>
      <t>／L</t>
    </r>
  </si>
  <si>
    <t>N/mm</t>
  </si>
  <si>
    <r>
      <t>2</t>
    </r>
    <r>
      <rPr>
        <sz val="11"/>
        <rFont val="ＭＳ Ｐ明朝"/>
        <family val="1"/>
      </rPr>
      <t xml:space="preserve"> ／</t>
    </r>
  </si>
  <si>
    <t>N・mm</t>
  </si>
  <si>
    <t>／</t>
  </si>
  <si>
    <r>
      <t>N/mm</t>
    </r>
    <r>
      <rPr>
        <vertAlign val="superscript"/>
        <sz val="10.5"/>
        <rFont val="ＭＳ Ｐ明朝"/>
        <family val="1"/>
      </rPr>
      <t>2</t>
    </r>
  </si>
  <si>
    <r>
      <t>Ｐ</t>
    </r>
    <r>
      <rPr>
        <vertAlign val="subscript"/>
        <sz val="11"/>
        <rFont val="ＭＳ Ｐ明朝"/>
        <family val="1"/>
      </rPr>
      <t>H</t>
    </r>
    <r>
      <rPr>
        <sz val="11"/>
        <rFont val="ＭＳ Ｐ明朝"/>
        <family val="1"/>
      </rPr>
      <t xml:space="preserve"> ／ ( ２Ａ )</t>
    </r>
  </si>
  <si>
    <t>)</t>
  </si>
  <si>
    <t>α＝</t>
  </si>
  <si>
    <r>
      <t>Ｐ</t>
    </r>
    <r>
      <rPr>
        <vertAlign val="subscript"/>
        <sz val="11"/>
        <rFont val="ＭＳ Ｐ明朝"/>
        <family val="1"/>
      </rPr>
      <t>V</t>
    </r>
    <r>
      <rPr>
        <sz val="11"/>
        <rFont val="ＭＳ Ｐ明朝"/>
        <family val="1"/>
      </rPr>
      <t>＝</t>
    </r>
  </si>
  <si>
    <r>
      <t>Ｐ</t>
    </r>
    <r>
      <rPr>
        <vertAlign val="subscript"/>
        <sz val="11"/>
        <rFont val="ＭＳ Ｐ明朝"/>
        <family val="1"/>
      </rPr>
      <t>V</t>
    </r>
  </si>
  <si>
    <r>
      <t>コンクリートの設計基準強度　σ</t>
    </r>
    <r>
      <rPr>
        <vertAlign val="subscript"/>
        <sz val="10.5"/>
        <rFont val="ＭＳ Ｐ明朝"/>
        <family val="1"/>
      </rPr>
      <t>ｃｋ</t>
    </r>
    <r>
      <rPr>
        <sz val="10.5"/>
        <rFont val="ＭＳ Ｐ明朝"/>
        <family val="1"/>
      </rPr>
      <t>＝</t>
    </r>
  </si>
  <si>
    <r>
      <t>N/mm</t>
    </r>
    <r>
      <rPr>
        <vertAlign val="superscript"/>
        <sz val="10.5"/>
        <rFont val="ＭＳ Ｐ明朝"/>
        <family val="1"/>
      </rPr>
      <t xml:space="preserve">2 </t>
    </r>
  </si>
  <si>
    <r>
      <t>支圧面積（Ａ</t>
    </r>
    <r>
      <rPr>
        <vertAlign val="subscript"/>
        <sz val="10.5"/>
        <rFont val="ＭＳ Ｐ明朝"/>
        <family val="1"/>
      </rPr>
      <t>ｂ</t>
    </r>
    <r>
      <rPr>
        <sz val="10.5"/>
        <rFont val="ＭＳ Ｐ明朝"/>
        <family val="1"/>
      </rPr>
      <t>）</t>
    </r>
  </si>
  <si>
    <r>
      <t>Ａ</t>
    </r>
    <r>
      <rPr>
        <vertAlign val="subscript"/>
        <sz val="10.5"/>
        <rFont val="ＭＳ Ｐ明朝"/>
        <family val="1"/>
      </rPr>
      <t>ｂ</t>
    </r>
    <r>
      <rPr>
        <sz val="10.5"/>
        <rFont val="ＭＳ Ｐ明朝"/>
        <family val="1"/>
      </rPr>
      <t>＝</t>
    </r>
  </si>
  <si>
    <r>
      <t>mm</t>
    </r>
    <r>
      <rPr>
        <vertAlign val="superscript"/>
        <sz val="10.5"/>
        <rFont val="ＭＳ Ｐ明朝"/>
        <family val="1"/>
      </rPr>
      <t>2</t>
    </r>
  </si>
  <si>
    <r>
      <t>コンクリート面の有効支圧面積（Ａ</t>
    </r>
    <r>
      <rPr>
        <vertAlign val="subscript"/>
        <sz val="10.5"/>
        <rFont val="ＭＳ Ｐ明朝"/>
        <family val="1"/>
      </rPr>
      <t>ｃ</t>
    </r>
    <r>
      <rPr>
        <sz val="10.5"/>
        <rFont val="ＭＳ Ｐ明朝"/>
        <family val="1"/>
      </rPr>
      <t>）の１辺は、支圧板の</t>
    </r>
  </si>
  <si>
    <r>
      <t>Ａ</t>
    </r>
    <r>
      <rPr>
        <vertAlign val="subscript"/>
        <sz val="10.5"/>
        <rFont val="ＭＳ Ｐ明朝"/>
        <family val="1"/>
      </rPr>
      <t>ｃ</t>
    </r>
    <r>
      <rPr>
        <sz val="10.5"/>
        <rFont val="ＭＳ Ｐ明朝"/>
        <family val="1"/>
      </rPr>
      <t>＝</t>
    </r>
  </si>
  <si>
    <r>
      <t>この場合、コンクリートの許容支圧応力度（σ</t>
    </r>
    <r>
      <rPr>
        <vertAlign val="subscript"/>
        <sz val="10.5"/>
        <rFont val="ＭＳ Ｐ明朝"/>
        <family val="1"/>
      </rPr>
      <t>ｂａ</t>
    </r>
    <r>
      <rPr>
        <sz val="10.5"/>
        <rFont val="ＭＳ Ｐ明朝"/>
        <family val="1"/>
      </rPr>
      <t>）は、</t>
    </r>
  </si>
  <si>
    <r>
      <t>σ</t>
    </r>
    <r>
      <rPr>
        <vertAlign val="subscript"/>
        <sz val="10.5"/>
        <rFont val="ＭＳ Ｐ明朝"/>
        <family val="1"/>
      </rPr>
      <t>ba</t>
    </r>
    <r>
      <rPr>
        <sz val="10.5"/>
        <rFont val="ＭＳ Ｐ明朝"/>
        <family val="1"/>
      </rPr>
      <t>＝</t>
    </r>
  </si>
  <si>
    <r>
      <t>(0.25＋0.05×Ａ</t>
    </r>
    <r>
      <rPr>
        <vertAlign val="subscript"/>
        <sz val="10.5"/>
        <rFont val="ＭＳ Ｐ明朝"/>
        <family val="1"/>
      </rPr>
      <t>c</t>
    </r>
    <r>
      <rPr>
        <sz val="10.5"/>
        <rFont val="ＭＳ Ｐ明朝"/>
        <family val="1"/>
      </rPr>
      <t>／Ａ</t>
    </r>
    <r>
      <rPr>
        <vertAlign val="subscript"/>
        <sz val="10.5"/>
        <rFont val="ＭＳ Ｐ明朝"/>
        <family val="1"/>
      </rPr>
      <t>b</t>
    </r>
    <r>
      <rPr>
        <sz val="10.5"/>
        <rFont val="ＭＳ Ｐ明朝"/>
        <family val="1"/>
      </rPr>
      <t>）×σ</t>
    </r>
    <r>
      <rPr>
        <vertAlign val="subscript"/>
        <sz val="10.5"/>
        <rFont val="ＭＳ Ｐ明朝"/>
        <family val="1"/>
      </rPr>
      <t>ck</t>
    </r>
    <r>
      <rPr>
        <sz val="10.5"/>
        <rFont val="ＭＳ Ｐ明朝"/>
        <family val="1"/>
      </rPr>
      <t>×1.5</t>
    </r>
  </si>
  <si>
    <r>
      <t>N/mm</t>
    </r>
    <r>
      <rPr>
        <vertAlign val="superscript"/>
        <sz val="10.5"/>
        <rFont val="ＭＳ Ｐ明朝"/>
        <family val="1"/>
      </rPr>
      <t>2</t>
    </r>
    <r>
      <rPr>
        <sz val="10.5"/>
        <rFont val="ＭＳ Ｐ明朝"/>
        <family val="1"/>
      </rPr>
      <t xml:space="preserve"> </t>
    </r>
  </si>
  <si>
    <r>
      <t>（　ただし、σ</t>
    </r>
    <r>
      <rPr>
        <vertAlign val="subscript"/>
        <sz val="10.5"/>
        <rFont val="ＭＳ Ｐ明朝"/>
        <family val="1"/>
      </rPr>
      <t>ba</t>
    </r>
    <r>
      <rPr>
        <sz val="10.5"/>
        <rFont val="ＭＳ Ｐ明朝"/>
        <family val="1"/>
      </rPr>
      <t>≦1.5×0.5σ</t>
    </r>
    <r>
      <rPr>
        <vertAlign val="subscript"/>
        <sz val="10.5"/>
        <rFont val="ＭＳ Ｐ明朝"/>
        <family val="1"/>
      </rPr>
      <t>ck　</t>
    </r>
    <r>
      <rPr>
        <sz val="10.5"/>
        <rFont val="ＭＳ Ｐ明朝"/>
        <family val="1"/>
      </rPr>
      <t>）</t>
    </r>
  </si>
  <si>
    <r>
      <t>コンクリートの支圧応力度σ</t>
    </r>
    <r>
      <rPr>
        <vertAlign val="subscript"/>
        <sz val="10.5"/>
        <rFont val="ＭＳ Ｐ明朝"/>
        <family val="1"/>
      </rPr>
      <t>c</t>
    </r>
    <r>
      <rPr>
        <sz val="10.5"/>
        <rFont val="ＭＳ Ｐ明朝"/>
        <family val="1"/>
      </rPr>
      <t xml:space="preserve"> は</t>
    </r>
  </si>
  <si>
    <r>
      <t>σ</t>
    </r>
    <r>
      <rPr>
        <vertAlign val="subscript"/>
        <sz val="10.5"/>
        <rFont val="ＭＳ Ｐ明朝"/>
        <family val="1"/>
      </rPr>
      <t>c</t>
    </r>
    <r>
      <rPr>
        <sz val="10.5"/>
        <rFont val="ＭＳ Ｐ明朝"/>
        <family val="1"/>
      </rPr>
      <t>＝</t>
    </r>
  </si>
  <si>
    <r>
      <t>Ｐ／Ａ</t>
    </r>
    <r>
      <rPr>
        <vertAlign val="subscript"/>
        <sz val="10.5"/>
        <rFont val="ＭＳ Ｐ明朝"/>
        <family val="1"/>
      </rPr>
      <t>b</t>
    </r>
  </si>
  <si>
    <r>
      <t>N/mm</t>
    </r>
    <r>
      <rPr>
        <vertAlign val="superscript"/>
        <sz val="10.5"/>
        <rFont val="ＭＳ Ｐ明朝"/>
        <family val="1"/>
      </rPr>
      <t>2</t>
    </r>
    <r>
      <rPr>
        <sz val="10.5"/>
        <rFont val="ＭＳ Ｐ明朝"/>
        <family val="1"/>
      </rPr>
      <t xml:space="preserve"> </t>
    </r>
  </si>
  <si>
    <r>
      <t>N/mm</t>
    </r>
    <r>
      <rPr>
        <vertAlign val="superscript"/>
        <sz val="10.5"/>
        <rFont val="ＭＳ Ｐ明朝"/>
        <family val="1"/>
      </rPr>
      <t xml:space="preserve">2 </t>
    </r>
  </si>
  <si>
    <r>
      <t>N/mm</t>
    </r>
    <r>
      <rPr>
        <vertAlign val="superscript"/>
        <sz val="10.5"/>
        <rFont val="ＭＳ Ｐ明朝"/>
        <family val="1"/>
      </rPr>
      <t>2</t>
    </r>
    <r>
      <rPr>
        <sz val="10.5"/>
        <rFont val="ＭＳ Ｐ明朝"/>
        <family val="1"/>
      </rPr>
      <t xml:space="preserve"> </t>
    </r>
  </si>
  <si>
    <t>とすると、</t>
  </si>
  <si>
    <r>
      <t>必要押抜きせん断面積 Ｂ</t>
    </r>
    <r>
      <rPr>
        <vertAlign val="subscript"/>
        <sz val="10.5"/>
        <rFont val="ＭＳ Ｐ明朝"/>
        <family val="1"/>
      </rPr>
      <t>ｒｅｑ</t>
    </r>
    <r>
      <rPr>
        <sz val="10.5"/>
        <rFont val="ＭＳ Ｐ明朝"/>
        <family val="1"/>
      </rPr>
      <t xml:space="preserve"> は</t>
    </r>
  </si>
  <si>
    <r>
      <t>mm</t>
    </r>
    <r>
      <rPr>
        <vertAlign val="superscript"/>
        <sz val="10.5"/>
        <rFont val="ＭＳ Ｐ明朝"/>
        <family val="1"/>
      </rPr>
      <t>2</t>
    </r>
  </si>
  <si>
    <t>Ｂ＝</t>
  </si>
  <si>
    <t>×</t>
  </si>
  <si>
    <t>＋</t>
  </si>
  <si>
    <t>π</t>
  </si>
  <si>
    <r>
      <t>mm</t>
    </r>
    <r>
      <rPr>
        <vertAlign val="superscript"/>
        <sz val="10.5"/>
        <rFont val="ＭＳ Ｐ明朝"/>
        <family val="1"/>
      </rPr>
      <t>2</t>
    </r>
  </si>
  <si>
    <r>
      <t>支圧面積（Ａ</t>
    </r>
    <r>
      <rPr>
        <vertAlign val="subscript"/>
        <sz val="10.5"/>
        <rFont val="ＭＳ Ｐ明朝"/>
        <family val="1"/>
      </rPr>
      <t>ｂ</t>
    </r>
    <r>
      <rPr>
        <sz val="10.5"/>
        <rFont val="ＭＳ Ｐ明朝"/>
        <family val="1"/>
      </rPr>
      <t xml:space="preserve">）   </t>
    </r>
  </si>
  <si>
    <r>
      <t>mm</t>
    </r>
    <r>
      <rPr>
        <vertAlign val="superscript"/>
        <sz val="10.5"/>
        <rFont val="ＭＳ Ｐ明朝"/>
        <family val="1"/>
      </rPr>
      <t>2</t>
    </r>
  </si>
  <si>
    <r>
      <t>N/mm</t>
    </r>
    <r>
      <rPr>
        <vertAlign val="superscript"/>
        <sz val="10.5"/>
        <rFont val="ＭＳ Ｐ明朝"/>
        <family val="1"/>
      </rPr>
      <t xml:space="preserve">2 </t>
    </r>
  </si>
  <si>
    <r>
      <t>mm</t>
    </r>
    <r>
      <rPr>
        <vertAlign val="superscript"/>
        <sz val="10.5"/>
        <rFont val="ＭＳ Ｐ明朝"/>
        <family val="1"/>
      </rPr>
      <t>2</t>
    </r>
  </si>
  <si>
    <r>
      <t>mm</t>
    </r>
    <r>
      <rPr>
        <vertAlign val="superscript"/>
        <sz val="10.5"/>
        <rFont val="ＭＳ Ｐ明朝"/>
        <family val="1"/>
      </rPr>
      <t>2</t>
    </r>
  </si>
  <si>
    <r>
      <t>N/mm</t>
    </r>
    <r>
      <rPr>
        <vertAlign val="superscript"/>
        <sz val="10.5"/>
        <rFont val="ＭＳ Ｐ明朝"/>
        <family val="1"/>
      </rPr>
      <t xml:space="preserve">2 </t>
    </r>
  </si>
  <si>
    <t>σa=</t>
  </si>
  <si>
    <t>τa=</t>
  </si>
  <si>
    <r>
      <t>N/</t>
    </r>
    <r>
      <rPr>
        <sz val="11"/>
        <rFont val="ＭＳ Ｐゴシック"/>
        <family val="3"/>
      </rPr>
      <t>mm</t>
    </r>
    <r>
      <rPr>
        <vertAlign val="superscript"/>
        <sz val="11"/>
        <rFont val="ＭＳ Ｐゴシック"/>
        <family val="3"/>
      </rPr>
      <t>2</t>
    </r>
  </si>
  <si>
    <r>
      <t>N/mm</t>
    </r>
    <r>
      <rPr>
        <vertAlign val="superscript"/>
        <sz val="10.5"/>
        <rFont val="ＭＳ Ｐ明朝"/>
        <family val="1"/>
      </rPr>
      <t>2</t>
    </r>
  </si>
  <si>
    <t>N</t>
  </si>
  <si>
    <t>Ｈ＝</t>
  </si>
  <si>
    <t>L＝</t>
  </si>
  <si>
    <t>(２)鉛直方向</t>
  </si>
  <si>
    <t>ｔ3＝</t>
  </si>
  <si>
    <t>L5＝</t>
  </si>
  <si>
    <t>ｔ5＝</t>
  </si>
  <si>
    <r>
      <t>Ａ(mm</t>
    </r>
    <r>
      <rPr>
        <vertAlign val="superscript"/>
        <sz val="10.5"/>
        <rFont val="ＭＳ Ｐ明朝"/>
        <family val="1"/>
      </rPr>
      <t>2</t>
    </r>
    <r>
      <rPr>
        <sz val="10.5"/>
        <rFont val="ＭＳ Ｐ明朝"/>
        <family val="1"/>
      </rPr>
      <t>)</t>
    </r>
  </si>
  <si>
    <t>Ｙ(mm)</t>
  </si>
  <si>
    <r>
      <t>ＡＹ(mm</t>
    </r>
    <r>
      <rPr>
        <vertAlign val="superscript"/>
        <sz val="10.5"/>
        <rFont val="ＭＳ Ｐ明朝"/>
        <family val="1"/>
      </rPr>
      <t>3</t>
    </r>
    <r>
      <rPr>
        <sz val="10.5"/>
        <rFont val="ＭＳ Ｐ明朝"/>
        <family val="1"/>
      </rPr>
      <t>)</t>
    </r>
  </si>
  <si>
    <r>
      <t>AY</t>
    </r>
    <r>
      <rPr>
        <vertAlign val="superscript"/>
        <sz val="10.5"/>
        <rFont val="ＭＳ Ｐ明朝"/>
        <family val="1"/>
      </rPr>
      <t>2</t>
    </r>
    <r>
      <rPr>
        <sz val="10.5"/>
        <rFont val="ＭＳ Ｐ明朝"/>
        <family val="1"/>
      </rPr>
      <t>(mm</t>
    </r>
    <r>
      <rPr>
        <vertAlign val="superscript"/>
        <sz val="10.5"/>
        <rFont val="ＭＳ Ｐ明朝"/>
        <family val="1"/>
      </rPr>
      <t>4</t>
    </r>
    <r>
      <rPr>
        <sz val="10.5"/>
        <rFont val="ＭＳ Ｐ明朝"/>
        <family val="1"/>
      </rPr>
      <t>)</t>
    </r>
  </si>
  <si>
    <r>
      <t>Ⅰo(mm</t>
    </r>
    <r>
      <rPr>
        <vertAlign val="superscript"/>
        <sz val="10.5"/>
        <rFont val="ＭＳ Ｐ明朝"/>
        <family val="1"/>
      </rPr>
      <t>4</t>
    </r>
    <r>
      <rPr>
        <sz val="10.5"/>
        <rFont val="ＭＳ Ｐ明朝"/>
        <family val="1"/>
      </rPr>
      <t>)</t>
    </r>
  </si>
  <si>
    <t>WEB</t>
  </si>
  <si>
    <t>-</t>
  </si>
  <si>
    <t>STIFF</t>
  </si>
  <si>
    <r>
      <t>Ｐ</t>
    </r>
    <r>
      <rPr>
        <vertAlign val="subscript"/>
        <sz val="11"/>
        <rFont val="ＭＳ Ｐ明朝"/>
        <family val="1"/>
      </rPr>
      <t>V</t>
    </r>
    <r>
      <rPr>
        <sz val="11"/>
        <rFont val="ＭＳ Ｐ明朝"/>
        <family val="1"/>
      </rPr>
      <t>・Ｈ</t>
    </r>
  </si>
  <si>
    <t>N･mm</t>
  </si>
  <si>
    <t>α＝</t>
  </si>
  <si>
    <t>Ａ－Ａ面における引張応力度の照査</t>
  </si>
  <si>
    <t>１主桁当たりのケーブル数は</t>
  </si>
  <si>
    <t>本／主桁</t>
  </si>
  <si>
    <t>（Ｐ×ｹｰﾌﾞﾙ本数）／（補強板幅×腹板厚）</t>
  </si>
  <si>
    <t>Ｂ－Ｂ面におけるせん断応力度の照査</t>
  </si>
  <si>
    <t>（Ｐ×ｹｰﾌﾞﾙ本数）／（桁端部長さ×腹板厚×2）</t>
  </si>
  <si>
    <t>５）主桁</t>
  </si>
  <si>
    <t>σｔ=</t>
  </si>
  <si>
    <t>N/mm2</t>
  </si>
  <si>
    <t>τ=</t>
  </si>
  <si>
    <t>1主桁あたりの本数</t>
  </si>
  <si>
    <t>本</t>
  </si>
  <si>
    <t>主桁高さ</t>
  </si>
  <si>
    <t>㎜</t>
  </si>
  <si>
    <t>主桁WEB厚</t>
  </si>
  <si>
    <t>ブラケット前面距離</t>
  </si>
  <si>
    <t>補強板高さ</t>
  </si>
  <si>
    <t>補強板長さ</t>
  </si>
  <si>
    <t>主桁鋼種</t>
  </si>
  <si>
    <t>８．支圧板</t>
  </si>
  <si>
    <t>σ</t>
  </si>
  <si>
    <t>τ</t>
  </si>
  <si>
    <t>mm</t>
  </si>
  <si>
    <r>
      <t xml:space="preserve">2 </t>
    </r>
    <r>
      <rPr>
        <sz val="10.5"/>
        <rFont val="ＭＳ Ｐ明朝"/>
        <family val="1"/>
      </rPr>
      <t>-π／4×</t>
    </r>
  </si>
  <si>
    <t>mm</t>
  </si>
  <si>
    <r>
      <t xml:space="preserve">2 </t>
    </r>
    <r>
      <rPr>
        <sz val="10.5"/>
        <rFont val="ＭＳ Ｐ明朝"/>
        <family val="1"/>
      </rPr>
      <t>-π／4×</t>
    </r>
  </si>
  <si>
    <r>
      <t>N/mm</t>
    </r>
    <r>
      <rPr>
        <vertAlign val="superscript"/>
        <sz val="10.5"/>
        <rFont val="ＭＳ Ｐ明朝"/>
        <family val="1"/>
      </rPr>
      <t xml:space="preserve">2 </t>
    </r>
  </si>
  <si>
    <r>
      <t>2</t>
    </r>
    <r>
      <rPr>
        <sz val="10.5"/>
        <rFont val="ＭＳ Ｐ明朝"/>
        <family val="1"/>
      </rPr>
      <t xml:space="preserve"> -π／4 ×</t>
    </r>
  </si>
  <si>
    <t>mm</t>
  </si>
  <si>
    <r>
      <t>ゴムの許容支圧応力度  σｃａ＝ 12N/mm</t>
    </r>
    <r>
      <rPr>
        <vertAlign val="superscript"/>
        <sz val="10.5"/>
        <rFont val="ＭＳ Ｐ明朝"/>
        <family val="1"/>
      </rPr>
      <t>2</t>
    </r>
    <r>
      <rPr>
        <sz val="10.5"/>
        <rFont val="ＭＳ Ｐ明朝"/>
        <family val="1"/>
      </rPr>
      <t xml:space="preserve">  、割増係数 1.5を考慮すると</t>
    </r>
  </si>
  <si>
    <t>b＝</t>
  </si>
  <si>
    <t>b＝</t>
  </si>
  <si>
    <t>７．主桁腹板の照査</t>
  </si>
  <si>
    <t>Ｐ＝</t>
  </si>
  <si>
    <t>N</t>
  </si>
  <si>
    <t>Ｌ１＝</t>
  </si>
  <si>
    <t>mm</t>
  </si>
  <si>
    <t>Ｌ２＝</t>
  </si>
  <si>
    <t>Ｈ＝</t>
  </si>
  <si>
    <t>ｔ＝</t>
  </si>
  <si>
    <t>σ＝</t>
  </si>
  <si>
    <t>＝</t>
  </si>
  <si>
    <t>×</t>
  </si>
  <si>
    <t>／ (</t>
  </si>
  <si>
    <t>τ＝</t>
  </si>
  <si>
    <r>
      <t>N/mm</t>
    </r>
    <r>
      <rPr>
        <vertAlign val="superscript"/>
        <sz val="10.5"/>
        <rFont val="ＭＳ Ｐ明朝"/>
        <family val="1"/>
      </rPr>
      <t>2</t>
    </r>
  </si>
  <si>
    <t>①RIB</t>
  </si>
  <si>
    <t>②WEB</t>
  </si>
  <si>
    <t>③-1V.Stiff</t>
  </si>
  <si>
    <t>③-2 H.Stiff</t>
  </si>
  <si>
    <t>⑤.BOLT</t>
  </si>
  <si>
    <t>２）スプリング</t>
  </si>
  <si>
    <r>
      <t>B</t>
    </r>
    <r>
      <rPr>
        <sz val="11"/>
        <rFont val="ＭＳ Ｐゴシック"/>
        <family val="3"/>
      </rPr>
      <t>/Breq</t>
    </r>
  </si>
  <si>
    <t>ボルト本数</t>
  </si>
  <si>
    <r>
      <t>1</t>
    </r>
    <r>
      <rPr>
        <sz val="11"/>
        <rFont val="ＭＳ Ｐゴシック"/>
        <family val="3"/>
      </rPr>
      <t>-2</t>
    </r>
    <r>
      <rPr>
        <sz val="11"/>
        <rFont val="ＭＳ Ｐゴシック"/>
        <family val="3"/>
      </rPr>
      <t>列間</t>
    </r>
  </si>
  <si>
    <r>
      <t>2-3列間</t>
    </r>
  </si>
  <si>
    <r>
      <t>3-4列間</t>
    </r>
  </si>
  <si>
    <r>
      <t>4-5列間</t>
    </r>
  </si>
  <si>
    <r>
      <t>5-6列間</t>
    </r>
  </si>
  <si>
    <r>
      <t>6-7列間</t>
    </r>
  </si>
  <si>
    <r>
      <t>7-8列間</t>
    </r>
  </si>
  <si>
    <r>
      <t>8-9列間</t>
    </r>
  </si>
  <si>
    <r>
      <t>9-10列間</t>
    </r>
  </si>
  <si>
    <r>
      <t>10-11列間</t>
    </r>
  </si>
  <si>
    <r>
      <t>1</t>
    </r>
    <r>
      <rPr>
        <sz val="11"/>
        <rFont val="ＭＳ Ｐゴシック"/>
        <family val="3"/>
      </rPr>
      <t>1</t>
    </r>
    <r>
      <rPr>
        <sz val="11"/>
        <rFont val="ＭＳ Ｐゴシック"/>
        <family val="3"/>
      </rPr>
      <t>-12列間</t>
    </r>
  </si>
  <si>
    <r>
      <t>1</t>
    </r>
    <r>
      <rPr>
        <sz val="11"/>
        <rFont val="ＭＳ Ｐゴシック"/>
        <family val="3"/>
      </rPr>
      <t>2-13列間</t>
    </r>
  </si>
  <si>
    <r>
      <t>1</t>
    </r>
    <r>
      <rPr>
        <sz val="11"/>
        <rFont val="ＭＳ Ｐゴシック"/>
        <family val="3"/>
      </rPr>
      <t>3-14列間</t>
    </r>
  </si>
  <si>
    <r>
      <t>1</t>
    </r>
    <r>
      <rPr>
        <sz val="11"/>
        <rFont val="ＭＳ Ｐゴシック"/>
        <family val="3"/>
      </rPr>
      <t>4-15列間</t>
    </r>
  </si>
  <si>
    <r>
      <t>SM490</t>
    </r>
    <r>
      <rPr>
        <sz val="11"/>
        <rFont val="ＭＳ Ｐゴシック"/>
        <family val="3"/>
      </rPr>
      <t>YA</t>
    </r>
  </si>
  <si>
    <t>SM490YA</t>
  </si>
  <si>
    <t>２）スプリング</t>
  </si>
  <si>
    <t>３）緩衝材</t>
  </si>
  <si>
    <t>４）ブラケット</t>
  </si>
  <si>
    <t>５）主桁</t>
  </si>
  <si>
    <t>６）ＣＯＮ</t>
  </si>
  <si>
    <t>６）コンクリート定着部</t>
  </si>
  <si>
    <t>３．画面上 紫色のｾﾙは標準図より変更する場合、値を入力してください。</t>
  </si>
  <si>
    <t>標準図</t>
  </si>
  <si>
    <t>σa＝</t>
  </si>
  <si>
    <t>τa＝</t>
  </si>
  <si>
    <t>τ＝</t>
  </si>
  <si>
    <r>
      <t>（σt／σa）</t>
    </r>
    <r>
      <rPr>
        <vertAlign val="superscript"/>
        <sz val="10.5"/>
        <rFont val="ＭＳ Ｐ明朝"/>
        <family val="1"/>
      </rPr>
      <t>2</t>
    </r>
    <r>
      <rPr>
        <sz val="10.5"/>
        <rFont val="ＭＳ Ｐ明朝"/>
        <family val="1"/>
      </rPr>
      <t>＋（τ／τa）</t>
    </r>
    <r>
      <rPr>
        <vertAlign val="superscript"/>
        <sz val="10.5"/>
        <rFont val="ＭＳ Ｐ明朝"/>
        <family val="1"/>
      </rPr>
      <t>2</t>
    </r>
    <r>
      <rPr>
        <sz val="10.5"/>
        <rFont val="ＭＳ Ｐ明朝"/>
        <family val="1"/>
      </rPr>
      <t>＝</t>
    </r>
  </si>
  <si>
    <t>σa＝</t>
  </si>
  <si>
    <r>
      <t>（σt／σa）</t>
    </r>
    <r>
      <rPr>
        <vertAlign val="superscript"/>
        <sz val="11"/>
        <rFont val="ＭＳ Ｐ明朝"/>
        <family val="1"/>
      </rPr>
      <t>2</t>
    </r>
    <r>
      <rPr>
        <sz val="11"/>
        <rFont val="ＭＳ Ｐ明朝"/>
        <family val="1"/>
      </rPr>
      <t>＋（τ／τa）</t>
    </r>
    <r>
      <rPr>
        <vertAlign val="superscript"/>
        <sz val="11"/>
        <rFont val="ＭＳ Ｐ明朝"/>
        <family val="1"/>
      </rPr>
      <t>2</t>
    </r>
    <r>
      <rPr>
        <sz val="11"/>
        <rFont val="ＭＳ Ｐ明朝"/>
        <family val="1"/>
      </rPr>
      <t>＝</t>
    </r>
  </si>
  <si>
    <t>落橋防止構造に設計地震力ＨＦが作用する場合の主桁腹板の照査を行う。腹板の配置した落橋防止構造の設計地震力Ｐは補強板の幅に均等に分布するものと仮定し，照査を行う。</t>
  </si>
  <si>
    <r>
      <t>1S12.7</t>
    </r>
    <r>
      <rPr>
        <sz val="11"/>
        <rFont val="ＭＳ Ｐゴシック"/>
        <family val="3"/>
      </rPr>
      <t>G</t>
    </r>
  </si>
  <si>
    <r>
      <t>1S15.2</t>
    </r>
    <r>
      <rPr>
        <sz val="11"/>
        <rFont val="ＭＳ Ｐゴシック"/>
        <family val="3"/>
      </rPr>
      <t>G</t>
    </r>
  </si>
  <si>
    <r>
      <t>1S17.8</t>
    </r>
    <r>
      <rPr>
        <sz val="11"/>
        <rFont val="ＭＳ Ｐゴシック"/>
        <family val="3"/>
      </rPr>
      <t>G</t>
    </r>
  </si>
  <si>
    <r>
      <t>1S21.8</t>
    </r>
    <r>
      <rPr>
        <sz val="11"/>
        <rFont val="ＭＳ Ｐゴシック"/>
        <family val="3"/>
      </rPr>
      <t>G</t>
    </r>
  </si>
  <si>
    <r>
      <t>4S12.7</t>
    </r>
    <r>
      <rPr>
        <sz val="11"/>
        <rFont val="ＭＳ Ｐゴシック"/>
        <family val="3"/>
      </rPr>
      <t>G</t>
    </r>
  </si>
  <si>
    <r>
      <t>4S15.2</t>
    </r>
    <r>
      <rPr>
        <sz val="11"/>
        <rFont val="ＭＳ Ｐゴシック"/>
        <family val="3"/>
      </rPr>
      <t>G</t>
    </r>
  </si>
  <si>
    <r>
      <t>5S15.2</t>
    </r>
    <r>
      <rPr>
        <sz val="11"/>
        <rFont val="ＭＳ Ｐゴシック"/>
        <family val="3"/>
      </rPr>
      <t>G</t>
    </r>
  </si>
  <si>
    <r>
      <t>4S17.8</t>
    </r>
    <r>
      <rPr>
        <sz val="11"/>
        <rFont val="ＭＳ Ｐゴシック"/>
        <family val="3"/>
      </rPr>
      <t>G</t>
    </r>
  </si>
  <si>
    <r>
      <t>4S19.3</t>
    </r>
    <r>
      <rPr>
        <sz val="11"/>
        <rFont val="ＭＳ Ｐゴシック"/>
        <family val="3"/>
      </rPr>
      <t>G</t>
    </r>
  </si>
  <si>
    <r>
      <t>5S17.8</t>
    </r>
    <r>
      <rPr>
        <sz val="11"/>
        <rFont val="ＭＳ Ｐゴシック"/>
        <family val="3"/>
      </rPr>
      <t>G</t>
    </r>
  </si>
  <si>
    <r>
      <t>5S19.3</t>
    </r>
    <r>
      <rPr>
        <sz val="11"/>
        <rFont val="ＭＳ Ｐゴシック"/>
        <family val="3"/>
      </rPr>
      <t>G</t>
    </r>
  </si>
  <si>
    <r>
      <t>6S19.3</t>
    </r>
    <r>
      <rPr>
        <sz val="11"/>
        <rFont val="ＭＳ Ｐゴシック"/>
        <family val="3"/>
      </rPr>
      <t>G</t>
    </r>
  </si>
  <si>
    <r>
      <t>7S19.3</t>
    </r>
    <r>
      <rPr>
        <sz val="11"/>
        <rFont val="ＭＳ Ｐゴシック"/>
        <family val="3"/>
      </rPr>
      <t>G</t>
    </r>
  </si>
  <si>
    <r>
      <t>6S21.8</t>
    </r>
    <r>
      <rPr>
        <sz val="11"/>
        <rFont val="ＭＳ Ｐゴシック"/>
        <family val="3"/>
      </rPr>
      <t>G</t>
    </r>
  </si>
  <si>
    <r>
      <t>7S21.8</t>
    </r>
    <r>
      <rPr>
        <sz val="11"/>
        <rFont val="ＭＳ Ｐゴシック"/>
        <family val="3"/>
      </rPr>
      <t>G</t>
    </r>
  </si>
  <si>
    <r>
      <t>8S21.8</t>
    </r>
    <r>
      <rPr>
        <sz val="11"/>
        <rFont val="ＭＳ Ｐゴシック"/>
        <family val="3"/>
      </rPr>
      <t>G</t>
    </r>
  </si>
  <si>
    <r>
      <t>9S21.8</t>
    </r>
    <r>
      <rPr>
        <sz val="11"/>
        <rFont val="ＭＳ Ｐゴシック"/>
        <family val="3"/>
      </rPr>
      <t>G</t>
    </r>
  </si>
  <si>
    <r>
      <t>10S21.8</t>
    </r>
    <r>
      <rPr>
        <sz val="11"/>
        <rFont val="ＭＳ Ｐゴシック"/>
        <family val="3"/>
      </rPr>
      <t>G</t>
    </r>
  </si>
  <si>
    <t>支承</t>
  </si>
  <si>
    <t>せん断変形率</t>
  </si>
  <si>
    <t>%</t>
  </si>
  <si>
    <t>支承タイプ</t>
  </si>
  <si>
    <t>ゴム支承</t>
  </si>
  <si>
    <t>その他</t>
  </si>
  <si>
    <r>
      <t>５．ブラケット各板の形状指定がある場合は 表中の変更値 （</t>
    </r>
    <r>
      <rPr>
        <b/>
        <sz val="11"/>
        <color indexed="14"/>
        <rFont val="ＭＳ Ｐゴシック"/>
        <family val="3"/>
      </rPr>
      <t>画面上ピンク色</t>
    </r>
    <r>
      <rPr>
        <sz val="11"/>
        <rFont val="ＭＳ Ｐゴシック"/>
        <family val="3"/>
      </rPr>
      <t xml:space="preserve">）の値を調整してください。標準図から変更しない場合は </t>
    </r>
    <r>
      <rPr>
        <b/>
        <sz val="11"/>
        <color indexed="14"/>
        <rFont val="ＭＳ Ｐゴシック"/>
        <family val="3"/>
      </rPr>
      <t>0</t>
    </r>
    <r>
      <rPr>
        <sz val="11"/>
        <rFont val="ＭＳ Ｐゴシック"/>
        <family val="3"/>
      </rPr>
      <t xml:space="preserve"> を入力してください。</t>
    </r>
  </si>
  <si>
    <t>６．ボルト配置は ブラケットベースＰＬ圧縮側先端から1列目のボルトまで距離と各ボルトのピッチを入力し、更に各位置に有るボルト本数を入力してください。</t>
  </si>
  <si>
    <r>
      <t>７．橋台ﾊﾟﾗﾍﾟｯﾄを貫通して桁ー橋台連結する場合は、</t>
    </r>
    <r>
      <rPr>
        <sz val="11"/>
        <rFont val="ＭＳ Ｐゴシック"/>
        <family val="3"/>
      </rPr>
      <t>パラペット厚他のデータを入力して、“CON”のシートを活用してください。</t>
    </r>
    <r>
      <rPr>
        <sz val="11"/>
        <color indexed="57"/>
        <rFont val="ＭＳ Ｐゴシック"/>
        <family val="3"/>
      </rPr>
      <t>（それ以外の場合はCONのシートは出力しないでください）</t>
    </r>
  </si>
  <si>
    <t>仕様</t>
  </si>
  <si>
    <t>1S12.7</t>
  </si>
  <si>
    <t>1S15.2</t>
  </si>
  <si>
    <t>1S17.8</t>
  </si>
  <si>
    <t>1S21.8</t>
  </si>
  <si>
    <t>4S12.7</t>
  </si>
  <si>
    <t>4S15.2</t>
  </si>
  <si>
    <t>5S15.2</t>
  </si>
  <si>
    <t>4S17.8</t>
  </si>
  <si>
    <t>4S19.3</t>
  </si>
  <si>
    <t>5S17.8</t>
  </si>
  <si>
    <t>5S19.3</t>
  </si>
  <si>
    <t>6S19.3</t>
  </si>
  <si>
    <t>7S19.3</t>
  </si>
  <si>
    <t>6S21.8</t>
  </si>
  <si>
    <t>7S21.8</t>
  </si>
  <si>
    <t>8S21.8</t>
  </si>
  <si>
    <t>9S21.8</t>
  </si>
  <si>
    <t>10S21.8</t>
  </si>
  <si>
    <t>４．支承ﾀｲﾌﾟは、”ｺﾞﾑ支承”または”その他”を選択してください。ゴム支承であってもゴム厚等の条件が不明の場合は”その他”を選択してください。</t>
  </si>
  <si>
    <r>
      <t xml:space="preserve">コンクリート厚 </t>
    </r>
    <r>
      <rPr>
        <sz val="11"/>
        <rFont val="ＭＳ Ｐゴシック"/>
        <family val="3"/>
      </rPr>
      <t>T</t>
    </r>
    <r>
      <rPr>
        <sz val="11"/>
        <rFont val="ＭＳ Ｐゴシック"/>
        <family val="3"/>
      </rPr>
      <t>=</t>
    </r>
  </si>
  <si>
    <t>コンクリート貫通孔の外径=</t>
  </si>
  <si>
    <t>コンクリート貫通孔径 φ</t>
  </si>
  <si>
    <t>、コンクリート貫通孔径 φ</t>
  </si>
  <si>
    <t>構成(高耐食型)</t>
  </si>
  <si>
    <t>構成(一般型)</t>
  </si>
  <si>
    <r>
      <t xml:space="preserve">コンクリート有効厚 </t>
    </r>
    <r>
      <rPr>
        <sz val="11"/>
        <rFont val="ＭＳ Ｐゴシック"/>
        <family val="3"/>
      </rPr>
      <t>Ta</t>
    </r>
    <r>
      <rPr>
        <sz val="11"/>
        <rFont val="ＭＳ Ｐゴシック"/>
        <family val="3"/>
      </rPr>
      <t>=</t>
    </r>
  </si>
  <si>
    <t>コンクリート有効厚            Ta＝</t>
  </si>
  <si>
    <t>ケーブル間隔                   C＝</t>
  </si>
  <si>
    <t>コンクリート厚                    T＝</t>
  </si>
  <si>
    <r>
      <t>コンクリートの許容押抜きせん断応力度　τ</t>
    </r>
    <r>
      <rPr>
        <vertAlign val="subscript"/>
        <sz val="10.5"/>
        <rFont val="ＭＳ Ｐ明朝"/>
        <family val="1"/>
      </rPr>
      <t>τａ</t>
    </r>
    <r>
      <rPr>
        <sz val="10.5"/>
        <rFont val="ＭＳ Ｐ明朝"/>
        <family val="1"/>
      </rPr>
      <t>＝</t>
    </r>
  </si>
  <si>
    <r>
      <t xml:space="preserve"> Ｂ</t>
    </r>
    <r>
      <rPr>
        <vertAlign val="subscript"/>
        <sz val="10.5"/>
        <rFont val="ＭＳ Ｐ明朝"/>
        <family val="1"/>
      </rPr>
      <t>ｒｅｑ</t>
    </r>
    <r>
      <rPr>
        <sz val="10.5"/>
        <rFont val="ＭＳ Ｐ明朝"/>
        <family val="1"/>
      </rPr>
      <t>＝Ｐ／τ</t>
    </r>
    <r>
      <rPr>
        <vertAlign val="subscript"/>
        <sz val="10.5"/>
        <rFont val="ＭＳ Ｐ明朝"/>
        <family val="1"/>
      </rPr>
      <t>τａ</t>
    </r>
    <r>
      <rPr>
        <sz val="10.5"/>
        <rFont val="ＭＳ Ｐ明朝"/>
        <family val="1"/>
      </rPr>
      <t>＝</t>
    </r>
  </si>
  <si>
    <r>
      <t xml:space="preserve"> Ｂ</t>
    </r>
    <r>
      <rPr>
        <vertAlign val="subscript"/>
        <sz val="10.5"/>
        <rFont val="ＭＳ Ｐ明朝"/>
        <family val="1"/>
      </rPr>
      <t>ｒｅｑ</t>
    </r>
    <r>
      <rPr>
        <sz val="10.5"/>
        <rFont val="ＭＳ Ｐ明朝"/>
        <family val="1"/>
      </rPr>
      <t>＝Ｐ×ｎ／τ</t>
    </r>
    <r>
      <rPr>
        <vertAlign val="subscript"/>
        <sz val="10.5"/>
        <rFont val="ＭＳ Ｐ明朝"/>
        <family val="1"/>
      </rPr>
      <t>τａ</t>
    </r>
    <r>
      <rPr>
        <sz val="10.5"/>
        <rFont val="ＭＳ Ｐ明朝"/>
        <family val="1"/>
      </rPr>
      <t>＝</t>
    </r>
  </si>
  <si>
    <t>せん断面は、コンクリート有効厚(Ta)を直径とする円筒の側面と下図に示す（C+a）と（a）により構成される四角柱の側面とする。</t>
  </si>
  <si>
    <t>せん断面は、コンクリート有効厚(Ta)を直径とする円筒の側面と、支圧板の一辺(a)により構成される四角柱の側面とする。</t>
  </si>
  <si>
    <t>（ｍｍ）</t>
  </si>
  <si>
    <t>６．ブラケット取付部の設計</t>
  </si>
  <si>
    <t>摩擦接合に対する照査</t>
  </si>
  <si>
    <t>ボルト１本に作用する力　ρ</t>
  </si>
  <si>
    <t>ρ＝</t>
  </si>
  <si>
    <r>
      <t>Ｈ</t>
    </r>
    <r>
      <rPr>
        <vertAlign val="subscript"/>
        <sz val="11"/>
        <rFont val="ＭＳ Ｐゴシック"/>
        <family val="3"/>
      </rPr>
      <t>Ｆ</t>
    </r>
    <r>
      <rPr>
        <sz val="11"/>
        <rFont val="ＭＳ Ｐゴシック"/>
        <family val="3"/>
      </rPr>
      <t>／ｎｂ</t>
    </r>
  </si>
  <si>
    <t>＝</t>
  </si>
  <si>
    <t>／</t>
  </si>
  <si>
    <t>（Ｎ）</t>
  </si>
  <si>
    <t>＜</t>
  </si>
  <si>
    <t>ρａ：</t>
  </si>
  <si>
    <t>摩擦接合用高力ボルト１本当たりの許容力</t>
  </si>
  <si>
    <t>ｎｂ：</t>
  </si>
  <si>
    <t>ボルトの引張力の照査</t>
  </si>
  <si>
    <t>ブラケットのボルト群の中立軸に対する２次ﾓｰﾒﾝﾄを求め、最遠ボルト位置の１本当たりのボルト引張力ρｔを照査する。また、引張力によって生じるてこ反力を考慮するため”ａ”部に関するてこ反力係数を、（社）日本鋼構造協会発行の「橋梁用高力ボルト引張接合設計指針（案）」により短締め形式の高力ボルト引張接合として算出し、ボルト引張力ρｔに考慮する。</t>
  </si>
  <si>
    <t>n</t>
  </si>
  <si>
    <t>y1</t>
  </si>
  <si>
    <t>n*y1</t>
  </si>
  <si>
    <t>y</t>
  </si>
  <si>
    <r>
      <t>n*y</t>
    </r>
    <r>
      <rPr>
        <vertAlign val="superscript"/>
        <sz val="10.5"/>
        <rFont val="ＭＳ Ｐゴシック"/>
        <family val="3"/>
      </rPr>
      <t>2</t>
    </r>
  </si>
  <si>
    <t>ｅ＝∑(n*ｙ1)／∑n</t>
  </si>
  <si>
    <t>n:</t>
  </si>
  <si>
    <t>y1:</t>
  </si>
  <si>
    <t>y:</t>
  </si>
  <si>
    <t>y＝ｅ－y1</t>
  </si>
  <si>
    <t>∑(n*y1)＝</t>
  </si>
  <si>
    <t>∑n＝</t>
  </si>
  <si>
    <t>ｅ＝</t>
  </si>
  <si>
    <t>Σ(n*ｙ^2)＝</t>
  </si>
  <si>
    <r>
      <t>mm</t>
    </r>
    <r>
      <rPr>
        <vertAlign val="superscript"/>
        <sz val="10.5"/>
        <rFont val="ＭＳ Ｐゴシック"/>
        <family val="3"/>
      </rPr>
      <t>2</t>
    </r>
  </si>
  <si>
    <r>
      <t>（Ｍ／Σｙ</t>
    </r>
    <r>
      <rPr>
        <vertAlign val="superscript"/>
        <sz val="10.5"/>
        <rFont val="ＭＳ Ｐゴシック"/>
        <family val="3"/>
      </rPr>
      <t>2</t>
    </r>
    <r>
      <rPr>
        <sz val="10.5"/>
        <rFont val="ＭＳ Ｐゴシック"/>
        <family val="3"/>
      </rPr>
      <t>）･ ｙｔmax</t>
    </r>
  </si>
  <si>
    <t>Ｎ</t>
  </si>
  <si>
    <t>yｔmax:</t>
  </si>
  <si>
    <t>てこ反力係数の算出</t>
  </si>
  <si>
    <t>ｎｆ：</t>
  </si>
  <si>
    <t>引張接合としての荷重に抵抗するボルト本数</t>
  </si>
  <si>
    <t>（本）</t>
  </si>
  <si>
    <t>ｎ’：</t>
  </si>
  <si>
    <t>Ｔフランジの片端に配置するボルトの本数　　ｎｆ／２</t>
  </si>
  <si>
    <t>ｃ：</t>
  </si>
  <si>
    <t>Ｔウェブ方向のボルト中心間隔　　≦３．５ｂ</t>
  </si>
  <si>
    <t>（ｍｍ）</t>
  </si>
  <si>
    <t>ｅ：</t>
  </si>
  <si>
    <t>Ｔウェブ方向のボルト縁端距離</t>
  </si>
  <si>
    <t>ｗ：</t>
  </si>
  <si>
    <t>Ｔフランジ長さ　　（ｎ’－１）ｃ＋２ｅ</t>
  </si>
  <si>
    <t>ｔ：</t>
  </si>
  <si>
    <t>Ｔフランジの板厚　　≧１．０ｄ</t>
  </si>
  <si>
    <r>
      <t>ｔ</t>
    </r>
    <r>
      <rPr>
        <vertAlign val="subscript"/>
        <sz val="11"/>
        <rFont val="ＭＳ Ｐゴシック"/>
        <family val="3"/>
      </rPr>
      <t>ｗ</t>
    </r>
    <r>
      <rPr>
        <sz val="11"/>
        <rFont val="ＭＳ Ｐゴシック"/>
        <family val="3"/>
      </rPr>
      <t>：</t>
    </r>
  </si>
  <si>
    <t>Ｔウェブの板厚</t>
  </si>
  <si>
    <r>
      <t>ｔ</t>
    </r>
    <r>
      <rPr>
        <vertAlign val="subscript"/>
        <sz val="11"/>
        <rFont val="ＭＳ Ｐゴシック"/>
        <family val="3"/>
      </rPr>
      <t>ｃ</t>
    </r>
    <r>
      <rPr>
        <sz val="11"/>
        <rFont val="ＭＳ Ｐゴシック"/>
        <family val="3"/>
      </rPr>
      <t>：</t>
    </r>
  </si>
  <si>
    <t>ｄ：</t>
  </si>
  <si>
    <t>ボルトの呼び径</t>
  </si>
  <si>
    <t>ｄ’：</t>
  </si>
  <si>
    <t>ボルトの孔径</t>
  </si>
  <si>
    <r>
      <t>Ａ</t>
    </r>
    <r>
      <rPr>
        <vertAlign val="subscript"/>
        <sz val="11"/>
        <rFont val="ＭＳ Ｐゴシック"/>
        <family val="3"/>
      </rPr>
      <t>ｂ</t>
    </r>
    <r>
      <rPr>
        <sz val="11"/>
        <rFont val="ＭＳ Ｐゴシック"/>
        <family val="3"/>
      </rPr>
      <t>：</t>
    </r>
  </si>
  <si>
    <r>
      <t>ボルトの軸断面積　（ｄ／２）</t>
    </r>
    <r>
      <rPr>
        <vertAlign val="superscript"/>
        <sz val="11"/>
        <rFont val="ＭＳ Ｐゴシック"/>
        <family val="3"/>
      </rPr>
      <t>２</t>
    </r>
    <r>
      <rPr>
        <sz val="11"/>
        <rFont val="ＭＳ Ｐゴシック"/>
        <family val="3"/>
      </rPr>
      <t>π</t>
    </r>
  </si>
  <si>
    <r>
      <t>（ｍｍ</t>
    </r>
    <r>
      <rPr>
        <vertAlign val="superscript"/>
        <sz val="11"/>
        <rFont val="ＭＳ Ｐゴシック"/>
        <family val="3"/>
      </rPr>
      <t>２</t>
    </r>
    <r>
      <rPr>
        <sz val="11"/>
        <rFont val="ＭＳ Ｐゴシック"/>
        <family val="3"/>
      </rPr>
      <t>）</t>
    </r>
  </si>
  <si>
    <t>ｃ’：</t>
  </si>
  <si>
    <t>Ｔフランジ方向のボルト中心間隔</t>
  </si>
  <si>
    <t>ｂ：</t>
  </si>
  <si>
    <t>ａ：</t>
  </si>
  <si>
    <t>ボルト中心からＴフランジ端部までの距離</t>
  </si>
  <si>
    <t>ｓ：</t>
  </si>
  <si>
    <t>フランジとウェブの溶接脚長</t>
  </si>
  <si>
    <t>ｂ’：</t>
  </si>
  <si>
    <t>ボルト中心からＴウェブの隅肉溶接部中心までの距離　　ｂ－ｓ／２</t>
  </si>
  <si>
    <t>ψ＝</t>
  </si>
  <si>
    <t>ａ／ｂ’＝</t>
  </si>
  <si>
    <t>／</t>
  </si>
  <si>
    <t>＝</t>
  </si>
  <si>
    <t>η＝</t>
  </si>
  <si>
    <r>
      <t>（２４・ｎ’・Ａ</t>
    </r>
    <r>
      <rPr>
        <vertAlign val="subscript"/>
        <sz val="11"/>
        <rFont val="ＭＳ Ｐゴシック"/>
        <family val="3"/>
      </rPr>
      <t>ｂ</t>
    </r>
    <r>
      <rPr>
        <sz val="11"/>
        <rFont val="ＭＳ Ｐゴシック"/>
        <family val="3"/>
      </rPr>
      <t>・ｂ’</t>
    </r>
    <r>
      <rPr>
        <vertAlign val="superscript"/>
        <sz val="11"/>
        <rFont val="ＭＳ Ｐゴシック"/>
        <family val="3"/>
      </rPr>
      <t>３</t>
    </r>
    <r>
      <rPr>
        <sz val="11"/>
        <rFont val="ＭＳ Ｐゴシック"/>
        <family val="3"/>
      </rPr>
      <t>）／（ｗ・ｔ</t>
    </r>
    <r>
      <rPr>
        <vertAlign val="superscript"/>
        <sz val="11"/>
        <rFont val="ＭＳ Ｐゴシック"/>
        <family val="3"/>
      </rPr>
      <t>３</t>
    </r>
    <r>
      <rPr>
        <sz val="11"/>
        <rFont val="ＭＳ Ｐゴシック"/>
        <family val="3"/>
      </rPr>
      <t>・（ｔ＋ｔｃ））</t>
    </r>
  </si>
  <si>
    <t>（24</t>
  </si>
  <si>
    <t>×</t>
  </si>
  <si>
    <r>
      <t>3</t>
    </r>
    <r>
      <rPr>
        <sz val="11"/>
        <rFont val="ＭＳ Ｐゴシック"/>
        <family val="3"/>
      </rPr>
      <t>）</t>
    </r>
  </si>
  <si>
    <t>／（</t>
  </si>
  <si>
    <r>
      <t>3</t>
    </r>
    <r>
      <rPr>
        <sz val="11"/>
        <rFont val="ＭＳ Ｐゴシック"/>
        <family val="3"/>
      </rPr>
      <t>×（</t>
    </r>
  </si>
  <si>
    <t>＋</t>
  </si>
  <si>
    <t>）)</t>
  </si>
  <si>
    <r>
      <t>η・φ</t>
    </r>
    <r>
      <rPr>
        <vertAlign val="superscript"/>
        <sz val="11"/>
        <rFont val="ＭＳ Ｐゴシック"/>
        <family val="3"/>
      </rPr>
      <t>3</t>
    </r>
    <r>
      <rPr>
        <sz val="11"/>
        <rFont val="ＭＳ Ｐゴシック"/>
        <family val="3"/>
      </rPr>
      <t>－φ</t>
    </r>
    <r>
      <rPr>
        <vertAlign val="superscript"/>
        <sz val="11"/>
        <rFont val="ＭＳ Ｐゴシック"/>
        <family val="3"/>
      </rPr>
      <t>2</t>
    </r>
    <r>
      <rPr>
        <sz val="11"/>
        <rFont val="ＭＳ Ｐゴシック"/>
        <family val="3"/>
      </rPr>
      <t>－２φ－１＝０　　式よりφを算出すると</t>
    </r>
  </si>
  <si>
    <t>φ＝</t>
  </si>
  <si>
    <t>よって、てこ反力係数は</t>
  </si>
  <si>
    <t>Ｐｕ＝</t>
  </si>
  <si>
    <r>
      <t>１／（２×（（１＋φ）</t>
    </r>
    <r>
      <rPr>
        <vertAlign val="superscript"/>
        <sz val="11"/>
        <rFont val="ＭＳ Ｐゴシック"/>
        <family val="3"/>
      </rPr>
      <t>２</t>
    </r>
    <r>
      <rPr>
        <sz val="11"/>
        <rFont val="ＭＳ Ｐゴシック"/>
        <family val="3"/>
      </rPr>
      <t>－１））</t>
    </r>
  </si>
  <si>
    <t>＝</t>
  </si>
  <si>
    <t>１／（２×（（１＋</t>
  </si>
  <si>
    <r>
      <t>）</t>
    </r>
    <r>
      <rPr>
        <vertAlign val="superscript"/>
        <sz val="11"/>
        <rFont val="ＭＳ Ｐゴシック"/>
        <family val="3"/>
      </rPr>
      <t>２</t>
    </r>
    <r>
      <rPr>
        <sz val="11"/>
        <rFont val="ＭＳ Ｐゴシック"/>
        <family val="3"/>
      </rPr>
      <t>－１））</t>
    </r>
  </si>
  <si>
    <t>てこ反力を考慮したボルト１本に作用する荷重</t>
  </si>
  <si>
    <t>ρｔ＝</t>
  </si>
  <si>
    <t>ρｔ’（１＋Ｐｕ）</t>
  </si>
  <si>
    <t>＝</t>
  </si>
  <si>
    <t>×（１＋</t>
  </si>
  <si>
    <t>）</t>
  </si>
  <si>
    <t>(kN)</t>
  </si>
  <si>
    <t>＜</t>
  </si>
  <si>
    <t>ρｔａ：</t>
  </si>
  <si>
    <t>引張接合用高力ボルトの許容力</t>
  </si>
  <si>
    <t>フランジ板厚の照査</t>
  </si>
  <si>
    <t>σｙ：</t>
  </si>
  <si>
    <t>Ｔフランジの降伏応力度</t>
  </si>
  <si>
    <t>＝</t>
  </si>
  <si>
    <r>
      <t>（Ｎ／ｍｍ</t>
    </r>
    <r>
      <rPr>
        <vertAlign val="superscript"/>
        <sz val="11"/>
        <rFont val="ＭＳ Ｐゴシック"/>
        <family val="3"/>
      </rPr>
      <t>２</t>
    </r>
    <r>
      <rPr>
        <sz val="11"/>
        <rFont val="ＭＳ Ｐゴシック"/>
        <family val="3"/>
      </rPr>
      <t>）</t>
    </r>
  </si>
  <si>
    <t>σｕ：</t>
  </si>
  <si>
    <t>Ｔフランジの引張強度</t>
  </si>
  <si>
    <r>
      <t>（Ｎ／ｍｍ</t>
    </r>
    <r>
      <rPr>
        <vertAlign val="superscript"/>
        <sz val="11"/>
        <rFont val="ＭＳ Ｐゴシック"/>
        <family val="3"/>
      </rPr>
      <t>２</t>
    </r>
    <r>
      <rPr>
        <sz val="11"/>
        <rFont val="ＭＳ Ｐゴシック"/>
        <family val="3"/>
      </rPr>
      <t>）</t>
    </r>
  </si>
  <si>
    <t>Ｂｙ：</t>
  </si>
  <si>
    <t>降伏ボルト軸力</t>
  </si>
  <si>
    <t>（ｋＮ）</t>
  </si>
  <si>
    <t>Ｐｙ：</t>
  </si>
  <si>
    <t>降伏ボルト軸力時のてこ反力係数</t>
  </si>
  <si>
    <r>
      <t>（１１＋Ｐｕ）・Ｐｕ／（１０－（１＋Ｐｕ）</t>
    </r>
    <r>
      <rPr>
        <vertAlign val="superscript"/>
        <sz val="11"/>
        <rFont val="ＭＳ Ｐゴシック"/>
        <family val="3"/>
      </rPr>
      <t>２</t>
    </r>
    <r>
      <rPr>
        <sz val="11"/>
        <rFont val="ＭＳ Ｐゴシック"/>
        <family val="3"/>
      </rPr>
      <t>）</t>
    </r>
  </si>
  <si>
    <t>（１１＋</t>
  </si>
  <si>
    <t>）×</t>
  </si>
  <si>
    <t>／（１０－（１＋</t>
  </si>
  <si>
    <r>
      <t>）</t>
    </r>
    <r>
      <rPr>
        <vertAlign val="superscript"/>
        <sz val="11"/>
        <rFont val="ＭＳ Ｐゴシック"/>
        <family val="3"/>
      </rPr>
      <t>２</t>
    </r>
    <r>
      <rPr>
        <sz val="11"/>
        <rFont val="ＭＳ Ｐゴシック"/>
        <family val="3"/>
      </rPr>
      <t>）</t>
    </r>
  </si>
  <si>
    <t>κ＝</t>
  </si>
  <si>
    <t>０．５＋０．９×σｕ／σｙ</t>
  </si>
  <si>
    <t>＋</t>
  </si>
  <si>
    <t>×</t>
  </si>
  <si>
    <t>／</t>
  </si>
  <si>
    <t>δ＝</t>
  </si>
  <si>
    <t>１－ｎ’・ｄ’／Ｗ</t>
  </si>
  <si>
    <t>－</t>
  </si>
  <si>
    <t>必要フランジ長さ</t>
  </si>
  <si>
    <r>
      <t>ｔ</t>
    </r>
    <r>
      <rPr>
        <vertAlign val="subscript"/>
        <sz val="11"/>
        <rFont val="ＭＳ Ｐゴシック"/>
        <family val="3"/>
      </rPr>
      <t>１</t>
    </r>
    <r>
      <rPr>
        <sz val="11"/>
        <rFont val="ＭＳ Ｐゴシック"/>
        <family val="3"/>
      </rPr>
      <t>＝</t>
    </r>
  </si>
  <si>
    <t>√(（６ｎ’・Ｂｙ・Ｐｙ・ａ）／（δ・Ｗ（１＋Ｐｙ）κ・σｙ）)</t>
  </si>
  <si>
    <t>＝</t>
  </si>
  <si>
    <t>√(（</t>
  </si>
  <si>
    <t>×</t>
  </si>
  <si>
    <t>）／（</t>
  </si>
  <si>
    <t>×（１＋</t>
  </si>
  <si>
    <t>）×</t>
  </si>
  <si>
    <t>）)</t>
  </si>
  <si>
    <r>
      <t>ｔ</t>
    </r>
    <r>
      <rPr>
        <vertAlign val="subscript"/>
        <sz val="11"/>
        <rFont val="ＭＳ Ｐゴシック"/>
        <family val="3"/>
      </rPr>
      <t>２</t>
    </r>
    <r>
      <rPr>
        <sz val="11"/>
        <rFont val="ＭＳ Ｐゴシック"/>
        <family val="3"/>
      </rPr>
      <t>＝</t>
    </r>
  </si>
  <si>
    <t>√(（６ｎ’・Ｂｙ・（ｂ’－ａ・Ｐｙ））／（Ｗ（１＋Ｐｙ）κ・σｙ）)</t>
  </si>
  <si>
    <t>×（</t>
  </si>
  <si>
    <t>－</t>
  </si>
  <si>
    <t>））／（</t>
  </si>
  <si>
    <t>））</t>
  </si>
  <si>
    <t>ｔ＝</t>
  </si>
  <si>
    <t>（ｍｍ）</t>
  </si>
  <si>
    <t>＞</t>
  </si>
  <si>
    <t>BASE厚</t>
  </si>
  <si>
    <t>補強版厚</t>
  </si>
  <si>
    <t>σu=</t>
  </si>
  <si>
    <r>
      <t>N/</t>
    </r>
    <r>
      <rPr>
        <sz val="11"/>
        <rFont val="ＭＳ Ｐゴシック"/>
        <family val="3"/>
      </rPr>
      <t>mm</t>
    </r>
    <r>
      <rPr>
        <vertAlign val="superscript"/>
        <sz val="11"/>
        <rFont val="ＭＳ Ｐゴシック"/>
        <family val="3"/>
      </rPr>
      <t>2</t>
    </r>
  </si>
  <si>
    <t>σy=</t>
  </si>
  <si>
    <t>σu(N/mm2)</t>
  </si>
  <si>
    <t>σｙ(N/mm2)</t>
  </si>
  <si>
    <t>数式入力セル（目標値＝0）⇒</t>
  </si>
  <si>
    <t>変化値⇒</t>
  </si>
  <si>
    <t>摩擦接合必要ﾎﾞﾙﾄ本数：</t>
  </si>
  <si>
    <t>ρt</t>
  </si>
  <si>
    <t>Base t</t>
  </si>
  <si>
    <t>引張接合</t>
  </si>
  <si>
    <t>ウェブ周りのボルト本数</t>
  </si>
  <si>
    <r>
      <t>m</t>
    </r>
    <r>
      <rPr>
        <sz val="11"/>
        <rFont val="ＭＳ Ｐゴシック"/>
        <family val="3"/>
      </rPr>
      <t>m(</t>
    </r>
    <r>
      <rPr>
        <sz val="8"/>
        <rFont val="ＭＳ Ｐゴシック"/>
        <family val="3"/>
      </rPr>
      <t>ただし</t>
    </r>
    <r>
      <rPr>
        <sz val="11"/>
        <rFont val="ＭＳ Ｐゴシック"/>
        <family val="3"/>
      </rPr>
      <t xml:space="preserve"> ≦</t>
    </r>
  </si>
  <si>
    <t>ウェブ方向のボルト縁端距離</t>
  </si>
  <si>
    <r>
      <t>m</t>
    </r>
    <r>
      <rPr>
        <sz val="11"/>
        <rFont val="ＭＳ Ｐゴシック"/>
        <family val="3"/>
      </rPr>
      <t>m</t>
    </r>
  </si>
  <si>
    <t>ウェブ直角方向のボルトピッチ</t>
  </si>
  <si>
    <t>ｳｪﾌﾞ方向（ｹｰﾌﾞﾙ方向）のボルトﾋﾟｯﾁ</t>
  </si>
  <si>
    <t>ウェブ直角方向のボルト縁端距離</t>
  </si>
  <si>
    <t>溶接脚長</t>
  </si>
  <si>
    <r>
      <t>ボルト中心からＴウェブ表面までの距離　　（ｃ'－ｔ</t>
    </r>
    <r>
      <rPr>
        <vertAlign val="subscript"/>
        <sz val="11"/>
        <rFont val="ＭＳ Ｐゴシック"/>
        <family val="3"/>
      </rPr>
      <t>ｗ</t>
    </r>
    <r>
      <rPr>
        <sz val="11"/>
        <rFont val="ＭＳ Ｐゴシック"/>
        <family val="3"/>
      </rPr>
      <t>）／２</t>
    </r>
  </si>
  <si>
    <t>スカーラップ</t>
  </si>
  <si>
    <t>R1＝</t>
  </si>
  <si>
    <t>(スカーラップ）</t>
  </si>
  <si>
    <t>R1＝</t>
  </si>
  <si>
    <t>(スカーラップ)</t>
  </si>
  <si>
    <t>（スカーラップ）</t>
  </si>
  <si>
    <t>計算値</t>
  </si>
  <si>
    <t>φ≦ψ</t>
  </si>
  <si>
    <t>Ｔフランジが接合される板厚</t>
  </si>
  <si>
    <t>取付け部板厚</t>
  </si>
  <si>
    <t>ボルト呼び径</t>
  </si>
  <si>
    <t>ボルト孔径</t>
  </si>
  <si>
    <t>呼び径</t>
  </si>
  <si>
    <t>孔径</t>
  </si>
  <si>
    <r>
      <t>S10T,M2</t>
    </r>
    <r>
      <rPr>
        <sz val="11"/>
        <rFont val="ＭＳ Ｐゴシック"/>
        <family val="3"/>
      </rPr>
      <t>4</t>
    </r>
  </si>
  <si>
    <t>摩擦接合許容力</t>
  </si>
  <si>
    <t>引張接合許容力</t>
  </si>
  <si>
    <r>
      <t>k</t>
    </r>
    <r>
      <rPr>
        <sz val="11"/>
        <rFont val="ＭＳ Ｐゴシック"/>
        <family val="3"/>
      </rPr>
      <t>N</t>
    </r>
  </si>
  <si>
    <t>引張接合</t>
  </si>
  <si>
    <r>
      <t>B</t>
    </r>
    <r>
      <rPr>
        <sz val="11"/>
        <rFont val="ＭＳ Ｐゴシック"/>
        <family val="3"/>
      </rPr>
      <t>ASE
PL厚</t>
    </r>
  </si>
  <si>
    <t>ボルト縁端距離</t>
  </si>
  <si>
    <t>ボルトピッチ</t>
  </si>
  <si>
    <t>ウェブ
方向</t>
  </si>
  <si>
    <t>ウェブ
直角方向</t>
  </si>
  <si>
    <t>一般型</t>
  </si>
  <si>
    <t>ウェブ
周りの
ボルト
本数</t>
  </si>
  <si>
    <t>許容応力割増係数</t>
  </si>
  <si>
    <t>割増係数</t>
  </si>
  <si>
    <t>鋼材:</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</si>
</sst>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0000"/>
    <numFmt numFmtId="187" formatCode="0.0_ "/>
    <numFmt numFmtId="188" formatCode="0_ "/>
    <numFmt numFmtId="189" formatCode="0.E+00"/>
    <numFmt numFmtId="190" formatCode="0.0E+00"/>
    <numFmt numFmtId="191" formatCode="0.00000"/>
    <numFmt numFmtId="192" formatCode="[&lt;=999]000;000\-00"/>
    <numFmt numFmtId="193" formatCode="0_);[Red]\(0\)"/>
    <numFmt numFmtId="194" formatCode="0.0_);[Red]\(0.0\)"/>
    <numFmt numFmtId="195" formatCode="0.00_ "/>
    <numFmt numFmtId="196" formatCode="0.000_ "/>
    <numFmt numFmtId="197" formatCode="0.0_ ;[Red]\-0.0\ "/>
    <numFmt numFmtId="198" formatCode="#,##0.000_ ;[Red]\-#,##0.000\ "/>
    <numFmt numFmtId="199" formatCode="#,##0_ ;[Red]\-#,##0\ "/>
    <numFmt numFmtId="200" formatCode="#,##0.00_ ;[Red]\-#,##0.00\ "/>
    <numFmt numFmtId="201" formatCode="0.000_);[Red]\(0.000\)"/>
    <numFmt numFmtId="202" formatCode="#,##0.0_ ;[Red]\-#,##0.0\ "/>
    <numFmt numFmtId="203" formatCode="0.00000000"/>
    <numFmt numFmtId="204" formatCode="0.0000000"/>
    <numFmt numFmtId="205" formatCode="0.000000"/>
    <numFmt numFmtId="206" formatCode="0.00_);[Red]\(0.00\)"/>
    <numFmt numFmtId="207" formatCode="#,##0_ "/>
    <numFmt numFmtId="208" formatCode="#,##0.0;[Red]\-#,##0.0"/>
    <numFmt numFmtId="209" formatCode="#,##0.000;[Red]\-#,##0.000"/>
    <numFmt numFmtId="210" formatCode="#,##0.0000;[Red]\-#,##0.0000"/>
    <numFmt numFmtId="211" formatCode="#,##0.00000;[Red]\-#,##0.00000"/>
    <numFmt numFmtId="212" formatCode="#,##0.000000;[Red]\-#,##0.000000"/>
    <numFmt numFmtId="213" formatCode="#,##0.0000000;[Red]\-#,##0.0000000"/>
    <numFmt numFmtId="214" formatCode="0.000000000"/>
    <numFmt numFmtId="215" formatCode="0;"/>
    <numFmt numFmtId="216" formatCode="0_);0"/>
    <numFmt numFmtId="217" formatCode="0_);0.0"/>
    <numFmt numFmtId="218" formatCode="0.0_);0.0"/>
    <numFmt numFmtId="219" formatCode="[&lt;=999]000;[&lt;=99999]000\-00;000\-0000"/>
    <numFmt numFmtId="220" formatCode="&quot;+ &quot;0&quot; ＝&quot;"/>
    <numFmt numFmtId="221" formatCode="&quot;(&quot;0&quot;) ／&quot;"/>
    <numFmt numFmtId="222" formatCode="&quot;(&quot;0&quot;)&quot;"/>
    <numFmt numFmtId="223" formatCode="0&quot;＝&quot;"/>
    <numFmt numFmtId="224" formatCode="0&quot;ＯＳＰＡ型 落橋防止装置の設計&quot;"/>
    <numFmt numFmtId="225" formatCode="0.0000_ "/>
    <numFmt numFmtId="226" formatCode="0.0\ \)"/>
    <numFmt numFmtId="227" formatCode="0\ \("/>
    <numFmt numFmtId="228" formatCode="\(\ 0"/>
    <numFmt numFmtId="229" formatCode="\(0"/>
    <numFmt numFmtId="230" formatCode="0\)"/>
    <numFmt numFmtId="231" formatCode="0&quot;mm&quot;"/>
    <numFmt numFmtId="232" formatCode="&quot;G&quot;0"/>
    <numFmt numFmtId="233" formatCode="&quot;Ｇ&quot;0"/>
    <numFmt numFmtId="234" formatCode="0&quot; 　＝&quot;"/>
  </numFmts>
  <fonts count="77">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b/>
      <sz val="11"/>
      <color indexed="14"/>
      <name val="ＭＳ Ｐゴシック"/>
      <family val="3"/>
    </font>
    <font>
      <b/>
      <sz val="11"/>
      <color indexed="10"/>
      <name val="ＭＳ Ｐゴシック"/>
      <family val="3"/>
    </font>
    <font>
      <vertAlign val="subscript"/>
      <sz val="11"/>
      <name val="ＭＳ Ｐゴシック"/>
      <family val="3"/>
    </font>
    <font>
      <sz val="8"/>
      <name val="ＭＳ Ｐゴシック"/>
      <family val="3"/>
    </font>
    <font>
      <b/>
      <sz val="12"/>
      <name val="ＭＳ Ｐゴシック"/>
      <family val="3"/>
    </font>
    <font>
      <sz val="6"/>
      <name val="ＭＳ Ｐゴシック"/>
      <family val="3"/>
    </font>
    <font>
      <sz val="11"/>
      <color indexed="8"/>
      <name val="ＭＳ Ｐゴシック"/>
      <family val="3"/>
    </font>
    <font>
      <sz val="11"/>
      <color indexed="10"/>
      <name val="ＭＳ Ｐゴシック"/>
      <family val="3"/>
    </font>
    <font>
      <sz val="11"/>
      <color indexed="56"/>
      <name val="ＭＳ Ｐゴシック"/>
      <family val="3"/>
    </font>
    <font>
      <b/>
      <sz val="14"/>
      <color indexed="10"/>
      <name val="ＭＳ Ｐゴシック"/>
      <family val="3"/>
    </font>
    <font>
      <vertAlign val="superscript"/>
      <sz val="11"/>
      <name val="ＭＳ Ｐゴシック"/>
      <family val="3"/>
    </font>
    <font>
      <b/>
      <sz val="11"/>
      <color indexed="56"/>
      <name val="ＭＳ Ｐゴシック"/>
      <family val="3"/>
    </font>
    <font>
      <u val="single"/>
      <sz val="11"/>
      <color indexed="12"/>
      <name val="ＭＳ Ｐゴシック"/>
      <family val="3"/>
    </font>
    <font>
      <u val="single"/>
      <sz val="11"/>
      <color indexed="36"/>
      <name val="ＭＳ Ｐゴシック"/>
      <family val="3"/>
    </font>
    <font>
      <sz val="11"/>
      <color indexed="57"/>
      <name val="ＭＳ Ｐゴシック"/>
      <family val="3"/>
    </font>
    <font>
      <vertAlign val="subscript"/>
      <sz val="11"/>
      <name val="ＭＳ Ｐ明朝"/>
      <family val="1"/>
    </font>
    <font>
      <vertAlign val="superscript"/>
      <sz val="11"/>
      <name val="ＭＳ Ｐ明朝"/>
      <family val="1"/>
    </font>
    <font>
      <sz val="11"/>
      <color indexed="61"/>
      <name val="ＭＳ Ｐゴシック"/>
      <family val="3"/>
    </font>
    <font>
      <sz val="11"/>
      <color indexed="60"/>
      <name val="ＭＳ Ｐゴシック"/>
      <family val="3"/>
    </font>
    <font>
      <sz val="10.5"/>
      <name val="ＭＳ Ｐ明朝"/>
      <family val="1"/>
    </font>
    <font>
      <sz val="10.5"/>
      <color indexed="8"/>
      <name val="ＭＳ Ｐ明朝"/>
      <family val="1"/>
    </font>
    <font>
      <sz val="10.5"/>
      <color indexed="10"/>
      <name val="ＭＳ Ｐ明朝"/>
      <family val="1"/>
    </font>
    <font>
      <b/>
      <sz val="10.5"/>
      <color indexed="10"/>
      <name val="ＭＳ Ｐ明朝"/>
      <family val="1"/>
    </font>
    <font>
      <sz val="10.5"/>
      <color indexed="56"/>
      <name val="ＭＳ Ｐ明朝"/>
      <family val="1"/>
    </font>
    <font>
      <vertAlign val="superscript"/>
      <sz val="10.5"/>
      <name val="ＭＳ Ｐ明朝"/>
      <family val="1"/>
    </font>
    <font>
      <b/>
      <sz val="10.5"/>
      <color indexed="14"/>
      <name val="ＭＳ Ｐ明朝"/>
      <family val="1"/>
    </font>
    <font>
      <b/>
      <sz val="10.5"/>
      <name val="ＭＳ Ｐ明朝"/>
      <family val="1"/>
    </font>
    <font>
      <sz val="11"/>
      <color indexed="8"/>
      <name val="ＭＳ Ｐ明朝"/>
      <family val="1"/>
    </font>
    <font>
      <b/>
      <sz val="11"/>
      <color indexed="10"/>
      <name val="ＭＳ Ｐ明朝"/>
      <family val="1"/>
    </font>
    <font>
      <b/>
      <sz val="11"/>
      <name val="ＭＳ Ｐ明朝"/>
      <family val="1"/>
    </font>
    <font>
      <vertAlign val="subscript"/>
      <sz val="10.5"/>
      <name val="ＭＳ Ｐ明朝"/>
      <family val="1"/>
    </font>
    <font>
      <sz val="10.5"/>
      <color indexed="14"/>
      <name val="ＭＳ Ｐ明朝"/>
      <family val="1"/>
    </font>
    <font>
      <sz val="10.5"/>
      <name val="ＭＳ Ｐゴシック"/>
      <family val="3"/>
    </font>
    <font>
      <vertAlign val="superscript"/>
      <sz val="10.5"/>
      <name val="ＭＳ Ｐゴシック"/>
      <family val="3"/>
    </font>
    <font>
      <sz val="10.5"/>
      <color indexed="8"/>
      <name val="ＭＳ Ｐゴシック"/>
      <family val="3"/>
    </font>
    <font>
      <b/>
      <sz val="10.5"/>
      <color indexed="10"/>
      <name val="ＭＳ Ｐゴシック"/>
      <family val="3"/>
    </font>
    <font>
      <sz val="11"/>
      <color indexed="12"/>
      <name val="ＭＳ Ｐゴシック"/>
      <family val="3"/>
    </font>
    <font>
      <sz val="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vertAlign val="subscript"/>
      <sz val="11"/>
      <color indexed="8"/>
      <name val="ＭＳ Ｐ明朝"/>
      <family val="1"/>
    </font>
    <font>
      <vertAlign val="superscrip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8" fillId="0" borderId="0" applyNumberFormat="0" applyFill="0" applyBorder="0" applyAlignment="0" applyProtection="0"/>
    <xf numFmtId="0" fontId="76" fillId="32" borderId="0" applyNumberFormat="0" applyBorder="0" applyAlignment="0" applyProtection="0"/>
  </cellStyleXfs>
  <cellXfs count="498">
    <xf numFmtId="0" fontId="0" fillId="0" borderId="0" xfId="0" applyAlignment="1">
      <alignment/>
    </xf>
    <xf numFmtId="0" fontId="8" fillId="0" borderId="10" xfId="0" applyFont="1" applyBorder="1" applyAlignment="1">
      <alignment horizontal="center" vertical="center"/>
    </xf>
    <xf numFmtId="0" fontId="5" fillId="0" borderId="11" xfId="0" applyFont="1" applyBorder="1" applyAlignment="1" applyProtection="1">
      <alignment horizontal="center" vertical="center"/>
      <protection locked="0"/>
    </xf>
    <xf numFmtId="0" fontId="13"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193" fontId="0" fillId="0" borderId="0" xfId="0" applyNumberFormat="1" applyFont="1" applyBorder="1" applyAlignment="1">
      <alignment vertical="center" shrinkToFit="1"/>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0" xfId="0" applyFont="1" applyBorder="1" applyAlignment="1">
      <alignment horizontal="center" vertical="center" shrinkToFit="1"/>
    </xf>
    <xf numFmtId="0" fontId="0" fillId="0" borderId="0" xfId="0" applyFont="1" applyAlignment="1">
      <alignment/>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11" fillId="33" borderId="10" xfId="0" applyFont="1" applyFill="1" applyBorder="1" applyAlignment="1" applyProtection="1">
      <alignment vertical="center"/>
      <protection locked="0"/>
    </xf>
    <xf numFmtId="0" fontId="0" fillId="0" borderId="0" xfId="0" applyFont="1" applyBorder="1" applyAlignment="1">
      <alignment horizontal="center" vertical="center"/>
    </xf>
    <xf numFmtId="0" fontId="0" fillId="0" borderId="0" xfId="0" applyFont="1" applyBorder="1" applyAlignment="1">
      <alignment horizontal="center" vertical="center"/>
    </xf>
    <xf numFmtId="218" fontId="0" fillId="0" borderId="11" xfId="0" applyNumberFormat="1" applyFont="1" applyBorder="1" applyAlignment="1">
      <alignment horizontal="center" vertical="center"/>
    </xf>
    <xf numFmtId="0" fontId="0" fillId="0" borderId="1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shrinkToFit="1"/>
    </xf>
    <xf numFmtId="0" fontId="0" fillId="0" borderId="14" xfId="0" applyFont="1" applyBorder="1" applyAlignment="1">
      <alignment horizontal="center" vertical="center"/>
    </xf>
    <xf numFmtId="0" fontId="0" fillId="0" borderId="12" xfId="0" applyFont="1" applyBorder="1" applyAlignment="1">
      <alignment vertical="center"/>
    </xf>
    <xf numFmtId="206" fontId="0" fillId="0" borderId="0" xfId="0" applyNumberFormat="1" applyFont="1" applyBorder="1" applyAlignment="1">
      <alignment vertical="center" shrinkToFit="1"/>
    </xf>
    <xf numFmtId="0" fontId="14" fillId="0" borderId="0" xfId="0" applyFont="1" applyBorder="1" applyAlignment="1">
      <alignment horizontal="center"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right" vertical="center"/>
    </xf>
    <xf numFmtId="0" fontId="11" fillId="0" borderId="0" xfId="0" applyFont="1" applyBorder="1" applyAlignment="1" applyProtection="1">
      <alignment horizontal="centerContinuous" vertical="center"/>
      <protection/>
    </xf>
    <xf numFmtId="0" fontId="0" fillId="0" borderId="0" xfId="0" applyFont="1" applyAlignment="1">
      <alignment horizontal="center" shrinkToFit="1"/>
    </xf>
    <xf numFmtId="0" fontId="1" fillId="34" borderId="10" xfId="0" applyFont="1" applyFill="1" applyBorder="1" applyAlignment="1">
      <alignment horizontal="center" vertical="center"/>
    </xf>
    <xf numFmtId="0" fontId="0" fillId="0" borderId="10" xfId="0" applyFont="1" applyBorder="1" applyAlignment="1">
      <alignment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center" shrinkToFit="1"/>
    </xf>
    <xf numFmtId="0" fontId="0" fillId="34" borderId="10" xfId="0" applyFont="1" applyFill="1" applyBorder="1" applyAlignment="1">
      <alignment horizontal="center" shrinkToFi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6" fillId="0" borderId="12" xfId="0" applyFont="1" applyBorder="1" applyAlignment="1">
      <alignment horizontal="centerContinuous" vertical="center"/>
    </xf>
    <xf numFmtId="0" fontId="6" fillId="0" borderId="12" xfId="0" applyFont="1" applyBorder="1" applyAlignment="1">
      <alignment vertical="center"/>
    </xf>
    <xf numFmtId="0" fontId="12" fillId="0" borderId="12" xfId="0" applyFont="1" applyBorder="1" applyAlignment="1">
      <alignment vertical="center"/>
    </xf>
    <xf numFmtId="1" fontId="6" fillId="0" borderId="12" xfId="0" applyNumberFormat="1"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193" fontId="12" fillId="0" borderId="0" xfId="0" applyNumberFormat="1" applyFont="1" applyBorder="1" applyAlignment="1">
      <alignment horizontal="center" vertical="center" shrinkToFi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NumberFormat="1" applyFont="1" applyBorder="1" applyAlignment="1">
      <alignment horizontal="center"/>
    </xf>
    <xf numFmtId="0" fontId="0" fillId="0" borderId="17" xfId="0" applyFont="1" applyBorder="1" applyAlignment="1">
      <alignment horizontal="center" vertical="center"/>
    </xf>
    <xf numFmtId="0" fontId="0" fillId="0" borderId="10" xfId="0" applyFont="1" applyFill="1" applyBorder="1" applyAlignment="1">
      <alignment horizontal="center"/>
    </xf>
    <xf numFmtId="0" fontId="0" fillId="0" borderId="10" xfId="0" applyNumberFormat="1" applyFont="1" applyBorder="1" applyAlignment="1">
      <alignment horizontal="center"/>
    </xf>
    <xf numFmtId="0" fontId="0" fillId="0" borderId="17" xfId="0" applyFont="1" applyBorder="1" applyAlignment="1">
      <alignment horizontal="center" vertical="center"/>
    </xf>
    <xf numFmtId="0" fontId="0" fillId="0" borderId="0" xfId="0" applyFont="1" applyBorder="1" applyAlignment="1">
      <alignment horizontal="left" vertical="center"/>
    </xf>
    <xf numFmtId="188"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33" borderId="10" xfId="0" applyFont="1" applyFill="1" applyBorder="1" applyAlignment="1" applyProtection="1">
      <alignment vertical="center"/>
      <protection locked="0"/>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4" xfId="0" applyFont="1" applyBorder="1" applyAlignment="1">
      <alignment horizontal="right" vertical="center"/>
    </xf>
    <xf numFmtId="0" fontId="0" fillId="0" borderId="16" xfId="0" applyFont="1" applyBorder="1" applyAlignment="1">
      <alignment horizontal="center" vertical="center"/>
    </xf>
    <xf numFmtId="184" fontId="0" fillId="0" borderId="10" xfId="0" applyNumberFormat="1" applyFont="1" applyBorder="1" applyAlignment="1">
      <alignment horizontal="center" vertical="center"/>
    </xf>
    <xf numFmtId="1" fontId="0" fillId="0" borderId="10" xfId="0" applyNumberFormat="1" applyFont="1" applyBorder="1" applyAlignment="1">
      <alignment horizontal="center"/>
    </xf>
    <xf numFmtId="184" fontId="0" fillId="0" borderId="10" xfId="0" applyNumberFormat="1" applyFont="1" applyBorder="1" applyAlignment="1">
      <alignment horizontal="center"/>
    </xf>
    <xf numFmtId="193" fontId="0" fillId="0" borderId="0" xfId="0" applyNumberFormat="1" applyFont="1" applyBorder="1" applyAlignment="1">
      <alignment vertical="center" shrinkToFit="1"/>
    </xf>
    <xf numFmtId="1" fontId="0" fillId="0" borderId="0" xfId="0" applyNumberFormat="1" applyFont="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left" shrinkToFit="1"/>
    </xf>
    <xf numFmtId="0" fontId="0" fillId="0" borderId="10" xfId="0" applyFont="1" applyBorder="1" applyAlignment="1">
      <alignment horizontal="center" shrinkToFit="1"/>
    </xf>
    <xf numFmtId="0" fontId="0" fillId="0" borderId="10" xfId="0" applyFont="1" applyBorder="1" applyAlignment="1">
      <alignment vertical="center" shrinkToFit="1"/>
    </xf>
    <xf numFmtId="0" fontId="0" fillId="0" borderId="10" xfId="0" applyFont="1" applyFill="1" applyBorder="1" applyAlignment="1">
      <alignment horizontal="center" shrinkToFit="1"/>
    </xf>
    <xf numFmtId="0" fontId="0" fillId="34" borderId="10" xfId="0" applyNumberFormat="1" applyFont="1" applyFill="1" applyBorder="1" applyAlignment="1">
      <alignment horizontal="center" shrinkToFit="1"/>
    </xf>
    <xf numFmtId="0" fontId="0" fillId="34" borderId="10" xfId="0" applyFont="1" applyFill="1" applyBorder="1" applyAlignment="1">
      <alignment horizontal="center" shrinkToFit="1"/>
    </xf>
    <xf numFmtId="0" fontId="0" fillId="0" borderId="13" xfId="0" applyFont="1" applyBorder="1" applyAlignment="1">
      <alignment horizontal="center" vertical="center"/>
    </xf>
    <xf numFmtId="0" fontId="0" fillId="0" borderId="20" xfId="0" applyFont="1" applyBorder="1" applyAlignment="1">
      <alignment/>
    </xf>
    <xf numFmtId="0" fontId="0" fillId="34" borderId="10" xfId="0" applyFont="1" applyFill="1" applyBorder="1" applyAlignment="1">
      <alignment horizontal="center"/>
    </xf>
    <xf numFmtId="1" fontId="0" fillId="34" borderId="10" xfId="0" applyNumberFormat="1" applyFont="1" applyFill="1" applyBorder="1" applyAlignment="1">
      <alignment horizontal="center"/>
    </xf>
    <xf numFmtId="0" fontId="0" fillId="0" borderId="0" xfId="0" applyFont="1" applyFill="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wrapText="1"/>
    </xf>
    <xf numFmtId="0" fontId="0" fillId="0" borderId="11" xfId="0" applyFont="1" applyBorder="1" applyAlignment="1">
      <alignment horizont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0" fillId="0" borderId="0" xfId="0" applyFont="1" applyBorder="1" applyAlignment="1">
      <alignment horizontal="center" vertical="center" shrinkToFit="1"/>
    </xf>
    <xf numFmtId="0" fontId="6" fillId="0" borderId="0" xfId="0" applyFont="1" applyFill="1" applyBorder="1" applyAlignment="1">
      <alignment horizontal="left" vertical="center"/>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xf>
    <xf numFmtId="0" fontId="22" fillId="0" borderId="1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3" fillId="0" borderId="10" xfId="0" applyFont="1" applyBorder="1" applyAlignment="1">
      <alignment horizontal="center"/>
    </xf>
    <xf numFmtId="218" fontId="0" fillId="0" borderId="13" xfId="0" applyNumberFormat="1" applyFont="1" applyBorder="1" applyAlignment="1">
      <alignment horizontal="center" vertical="center"/>
    </xf>
    <xf numFmtId="0" fontId="0" fillId="0" borderId="19" xfId="0" applyFont="1" applyBorder="1" applyAlignment="1">
      <alignment vertical="center"/>
    </xf>
    <xf numFmtId="0" fontId="11" fillId="36" borderId="10" xfId="0" applyFont="1" applyFill="1" applyBorder="1" applyAlignment="1" applyProtection="1">
      <alignment horizontal="center" vertical="center"/>
      <protection locked="0"/>
    </xf>
    <xf numFmtId="0" fontId="1"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24" fillId="0" borderId="0" xfId="0" applyFont="1" applyAlignment="1">
      <alignment vertical="top"/>
    </xf>
    <xf numFmtId="0" fontId="24" fillId="0" borderId="0" xfId="0" applyFont="1" applyAlignment="1">
      <alignment horizontal="center" vertical="top"/>
    </xf>
    <xf numFmtId="0" fontId="25" fillId="0" borderId="0" xfId="0" applyFont="1" applyAlignment="1" applyProtection="1">
      <alignment horizontal="center" vertical="top"/>
      <protection/>
    </xf>
    <xf numFmtId="0" fontId="25" fillId="0" borderId="0" xfId="0" applyFont="1" applyAlignment="1" applyProtection="1">
      <alignment vertical="top"/>
      <protection/>
    </xf>
    <xf numFmtId="0" fontId="24" fillId="0" borderId="0" xfId="0" applyFont="1" applyAlignment="1">
      <alignment/>
    </xf>
    <xf numFmtId="0" fontId="24" fillId="0" borderId="0" xfId="0" applyFont="1" applyFill="1" applyAlignment="1">
      <alignment vertical="top"/>
    </xf>
    <xf numFmtId="0" fontId="24" fillId="0" borderId="0" xfId="0" applyFont="1" applyAlignment="1">
      <alignment vertical="top" wrapText="1"/>
    </xf>
    <xf numFmtId="0" fontId="0" fillId="0" borderId="14"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21" xfId="0" applyFont="1" applyBorder="1" applyAlignment="1">
      <alignment/>
    </xf>
    <xf numFmtId="1" fontId="0" fillId="0" borderId="10" xfId="0" applyNumberFormat="1" applyFont="1" applyBorder="1" applyAlignment="1">
      <alignment/>
    </xf>
    <xf numFmtId="0" fontId="0" fillId="0" borderId="12" xfId="0" applyFont="1" applyBorder="1" applyAlignment="1">
      <alignment/>
    </xf>
    <xf numFmtId="0" fontId="0" fillId="0" borderId="22" xfId="0" applyFont="1" applyBorder="1" applyAlignment="1">
      <alignment vertical="center"/>
    </xf>
    <xf numFmtId="0" fontId="0" fillId="0" borderId="23" xfId="0" applyFont="1" applyBorder="1" applyAlignment="1">
      <alignment vertical="center"/>
    </xf>
    <xf numFmtId="193" fontId="0" fillId="0" borderId="23" xfId="0" applyNumberFormat="1" applyFont="1" applyBorder="1" applyAlignment="1">
      <alignment vertical="center" shrinkToFit="1"/>
    </xf>
    <xf numFmtId="1" fontId="0" fillId="0" borderId="0" xfId="0" applyNumberFormat="1" applyFont="1" applyBorder="1" applyAlignment="1">
      <alignment vertical="center"/>
    </xf>
    <xf numFmtId="2" fontId="0" fillId="0" borderId="0" xfId="0" applyNumberFormat="1" applyFont="1" applyBorder="1" applyAlignment="1">
      <alignment vertical="center"/>
    </xf>
    <xf numFmtId="0" fontId="16" fillId="0" borderId="0" xfId="0" applyFont="1" applyBorder="1" applyAlignment="1">
      <alignment horizontal="center" vertical="center"/>
    </xf>
    <xf numFmtId="193" fontId="16" fillId="0" borderId="0" xfId="0" applyNumberFormat="1" applyFont="1" applyBorder="1" applyAlignment="1">
      <alignment horizontal="center" vertical="center" shrinkToFit="1"/>
    </xf>
    <xf numFmtId="193" fontId="0" fillId="0" borderId="0" xfId="0" applyNumberFormat="1" applyFont="1" applyBorder="1" applyAlignment="1">
      <alignment horizontal="center" vertical="center" shrinkToFit="1"/>
    </xf>
    <xf numFmtId="0" fontId="0" fillId="0" borderId="0" xfId="0" applyFont="1" applyBorder="1" applyAlignment="1">
      <alignment/>
    </xf>
    <xf numFmtId="0" fontId="24" fillId="0" borderId="0" xfId="0" applyFont="1" applyAlignment="1">
      <alignment horizontal="center" vertical="center"/>
    </xf>
    <xf numFmtId="1" fontId="24" fillId="0" borderId="0" xfId="0" applyNumberFormat="1" applyFont="1" applyAlignment="1">
      <alignment horizontal="center" vertical="center"/>
    </xf>
    <xf numFmtId="0" fontId="24" fillId="0" borderId="0" xfId="0" applyFont="1" applyAlignment="1">
      <alignment horizontal="left" vertical="top" wrapText="1"/>
    </xf>
    <xf numFmtId="0" fontId="0" fillId="0" borderId="12" xfId="0" applyFont="1" applyBorder="1" applyAlignment="1">
      <alignment vertical="center" shrinkToFit="1"/>
    </xf>
    <xf numFmtId="0" fontId="5" fillId="0" borderId="12" xfId="0" applyFont="1" applyBorder="1" applyAlignment="1">
      <alignment horizontal="center" vertical="center"/>
    </xf>
    <xf numFmtId="0" fontId="0" fillId="0" borderId="23" xfId="0" applyFont="1" applyBorder="1" applyAlignment="1">
      <alignment horizontal="right" vertical="center"/>
    </xf>
    <xf numFmtId="188" fontId="0" fillId="0" borderId="11" xfId="0" applyNumberFormat="1" applyFont="1" applyBorder="1" applyAlignment="1">
      <alignment horizontal="center" vertical="center" shrinkToFit="1"/>
    </xf>
    <xf numFmtId="188" fontId="0" fillId="0" borderId="13" xfId="0" applyNumberFormat="1" applyFont="1" applyBorder="1" applyAlignment="1">
      <alignment horizontal="center" vertical="center" shrinkToFit="1"/>
    </xf>
    <xf numFmtId="188" fontId="0" fillId="0" borderId="10" xfId="0" applyNumberFormat="1" applyFont="1" applyBorder="1" applyAlignment="1">
      <alignment horizontal="center" vertical="center" shrinkToFit="1"/>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4" fillId="0" borderId="0" xfId="0" applyFont="1" applyAlignment="1">
      <alignment horizontal="right" vertical="center" shrinkToFit="1"/>
    </xf>
    <xf numFmtId="188" fontId="29" fillId="0" borderId="0" xfId="0" applyNumberFormat="1" applyFont="1" applyAlignment="1">
      <alignment horizontal="left" vertical="center"/>
    </xf>
    <xf numFmtId="0" fontId="24" fillId="0" borderId="0" xfId="0" applyFont="1" applyAlignment="1">
      <alignment horizontal="left" vertical="center"/>
    </xf>
    <xf numFmtId="1" fontId="24" fillId="0" borderId="0" xfId="0" applyNumberFormat="1" applyFont="1" applyAlignment="1">
      <alignment vertical="center"/>
    </xf>
    <xf numFmtId="0" fontId="24" fillId="0" borderId="0" xfId="0" applyFont="1" applyAlignment="1">
      <alignment vertical="center" shrinkToFit="1"/>
    </xf>
    <xf numFmtId="184" fontId="24" fillId="0" borderId="0" xfId="0" applyNumberFormat="1" applyFont="1" applyAlignment="1">
      <alignment horizontal="center" vertical="center"/>
    </xf>
    <xf numFmtId="188" fontId="24" fillId="0" borderId="0" xfId="0" applyNumberFormat="1" applyFont="1" applyAlignment="1">
      <alignment horizontal="centerContinuous" vertical="center"/>
    </xf>
    <xf numFmtId="187" fontId="24" fillId="0" borderId="0" xfId="0" applyNumberFormat="1" applyFont="1" applyAlignment="1">
      <alignment horizontal="centerContinuous" vertical="center"/>
    </xf>
    <xf numFmtId="0" fontId="26" fillId="0" borderId="0" xfId="0" applyFont="1" applyAlignment="1">
      <alignment horizontal="center" vertical="center"/>
    </xf>
    <xf numFmtId="49" fontId="24" fillId="0" borderId="0" xfId="0" applyNumberFormat="1" applyFont="1" applyAlignment="1">
      <alignment horizontal="center" vertical="center"/>
    </xf>
    <xf numFmtId="0" fontId="25" fillId="0" borderId="0" xfId="0" applyFont="1" applyAlignment="1" applyProtection="1">
      <alignment vertical="center"/>
      <protection/>
    </xf>
    <xf numFmtId="0" fontId="24" fillId="0" borderId="0" xfId="0" applyFont="1" applyAlignment="1">
      <alignment horizontal="centerContinuous" vertical="center"/>
    </xf>
    <xf numFmtId="0" fontId="25" fillId="0" borderId="0" xfId="0" applyFont="1" applyAlignment="1" applyProtection="1">
      <alignment horizontal="left" vertical="center"/>
      <protection/>
    </xf>
    <xf numFmtId="0" fontId="24" fillId="0" borderId="0" xfId="0" applyFont="1" applyAlignment="1" applyProtection="1">
      <alignment horizontal="centerContinuous" vertical="center"/>
      <protection/>
    </xf>
    <xf numFmtId="1" fontId="24" fillId="0" borderId="0" xfId="0" applyNumberFormat="1" applyFont="1" applyAlignment="1" applyProtection="1">
      <alignment horizontal="centerContinuous" vertical="center"/>
      <protection/>
    </xf>
    <xf numFmtId="1" fontId="25" fillId="0" borderId="0" xfId="0" applyNumberFormat="1" applyFont="1" applyAlignment="1" applyProtection="1">
      <alignment horizontal="centerContinuous" vertical="center"/>
      <protection/>
    </xf>
    <xf numFmtId="0" fontId="0" fillId="0" borderId="0" xfId="0" applyFont="1" applyBorder="1" applyAlignment="1">
      <alignment horizontal="right" vertical="center"/>
    </xf>
    <xf numFmtId="1" fontId="24" fillId="0" borderId="0" xfId="0" applyNumberFormat="1" applyFont="1" applyAlignment="1" applyProtection="1">
      <alignment horizontal="center" vertical="center"/>
      <protection/>
    </xf>
    <xf numFmtId="0" fontId="4" fillId="0" borderId="0" xfId="0" applyFont="1" applyAlignment="1" applyProtection="1">
      <alignment horizontal="center" vertical="center"/>
      <protection/>
    </xf>
    <xf numFmtId="0" fontId="24" fillId="0" borderId="0" xfId="0" applyFont="1" applyAlignment="1">
      <alignment horizontal="left"/>
    </xf>
    <xf numFmtId="230" fontId="24" fillId="0" borderId="0" xfId="0" applyNumberFormat="1" applyFont="1" applyAlignment="1">
      <alignment horizontal="center" vertical="center"/>
    </xf>
    <xf numFmtId="0" fontId="27" fillId="0" borderId="0" xfId="0" applyFont="1" applyAlignment="1">
      <alignment horizontal="centerContinuous" vertical="center"/>
    </xf>
    <xf numFmtId="1" fontId="0" fillId="0" borderId="0" xfId="0" applyNumberFormat="1" applyFont="1" applyAlignment="1">
      <alignment/>
    </xf>
    <xf numFmtId="0" fontId="0" fillId="0" borderId="0" xfId="0" applyBorder="1" applyAlignment="1">
      <alignment vertical="center"/>
    </xf>
    <xf numFmtId="0" fontId="0" fillId="0" borderId="10" xfId="0" applyBorder="1" applyAlignment="1">
      <alignment vertical="center"/>
    </xf>
    <xf numFmtId="0" fontId="24" fillId="0" borderId="20" xfId="0" applyFont="1" applyBorder="1" applyAlignment="1" applyProtection="1">
      <alignment horizontal="center" vertical="center"/>
      <protection/>
    </xf>
    <xf numFmtId="184" fontId="24" fillId="0" borderId="0" xfId="0" applyNumberFormat="1" applyFont="1" applyAlignment="1" applyProtection="1">
      <alignment horizontal="center" vertical="center"/>
      <protection/>
    </xf>
    <xf numFmtId="193" fontId="6" fillId="0" borderId="12"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0" fillId="33" borderId="10" xfId="0" applyFont="1" applyFill="1" applyBorder="1" applyAlignment="1" applyProtection="1">
      <alignment/>
      <protection locked="0"/>
    </xf>
    <xf numFmtId="0" fontId="0" fillId="33" borderId="10" xfId="0" applyFont="1" applyFill="1" applyBorder="1" applyAlignment="1" applyProtection="1">
      <alignment/>
      <protection locked="0"/>
    </xf>
    <xf numFmtId="193" fontId="0" fillId="0" borderId="0" xfId="0" applyNumberFormat="1" applyFont="1" applyBorder="1" applyAlignment="1">
      <alignment horizontal="right" vertical="center" shrinkToFit="1"/>
    </xf>
    <xf numFmtId="209" fontId="0" fillId="0" borderId="0" xfId="49" applyNumberFormat="1" applyFont="1" applyBorder="1" applyAlignment="1">
      <alignment horizontal="right" vertical="center" shrinkToFit="1"/>
    </xf>
    <xf numFmtId="0" fontId="0" fillId="0" borderId="0" xfId="0" applyFont="1" applyBorder="1" applyAlignment="1">
      <alignment horizontal="left"/>
    </xf>
    <xf numFmtId="0" fontId="6" fillId="0" borderId="12" xfId="0" applyFont="1" applyFill="1" applyBorder="1" applyAlignment="1">
      <alignment horizontal="center" vertical="center"/>
    </xf>
    <xf numFmtId="0" fontId="0" fillId="0" borderId="12" xfId="0" applyFont="1" applyFill="1" applyBorder="1" applyAlignment="1">
      <alignment vertical="center"/>
    </xf>
    <xf numFmtId="231" fontId="0" fillId="0" borderId="0" xfId="0" applyNumberFormat="1" applyFont="1" applyBorder="1" applyAlignment="1">
      <alignment vertical="center"/>
    </xf>
    <xf numFmtId="0" fontId="24" fillId="0" borderId="0" xfId="0" applyFont="1" applyAlignment="1" applyProtection="1">
      <alignment vertical="top"/>
      <protection/>
    </xf>
    <xf numFmtId="0" fontId="24" fillId="0" borderId="0" xfId="0" applyFont="1" applyAlignment="1" applyProtection="1">
      <alignment horizontal="right" vertical="top"/>
      <protection/>
    </xf>
    <xf numFmtId="0" fontId="24" fillId="0" borderId="0" xfId="0" applyFont="1" applyAlignment="1" applyProtection="1">
      <alignment horizontal="left" vertical="top"/>
      <protection/>
    </xf>
    <xf numFmtId="0" fontId="24" fillId="0" borderId="0" xfId="0" applyFont="1" applyAlignment="1" applyProtection="1">
      <alignment horizontal="right" vertical="center"/>
      <protection/>
    </xf>
    <xf numFmtId="0" fontId="24" fillId="0" borderId="0" xfId="0" applyFont="1" applyAlignment="1" applyProtection="1">
      <alignment horizontal="left" vertical="center" wrapText="1"/>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24" fillId="0" borderId="0" xfId="0" applyFont="1" applyAlignment="1" applyProtection="1">
      <alignment horizontal="center" vertical="center" shrinkToFit="1"/>
      <protection/>
    </xf>
    <xf numFmtId="0" fontId="24" fillId="0" borderId="0" xfId="0" applyFont="1" applyAlignment="1" applyProtection="1">
      <alignment vertical="center" shrinkToFit="1"/>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24" fillId="0" borderId="0" xfId="0" applyFont="1" applyAlignment="1" applyProtection="1">
      <alignment horizontal="right" vertical="center" shrinkToFit="1"/>
      <protection/>
    </xf>
    <xf numFmtId="1" fontId="24" fillId="0" borderId="0" xfId="0" applyNumberFormat="1" applyFont="1" applyAlignment="1" applyProtection="1">
      <alignment horizontal="right" vertical="center"/>
      <protection/>
    </xf>
    <xf numFmtId="0" fontId="29" fillId="0" borderId="0" xfId="0" applyFont="1" applyAlignment="1" applyProtection="1">
      <alignment horizontal="left" vertical="center"/>
      <protection/>
    </xf>
    <xf numFmtId="188" fontId="29" fillId="0" borderId="0" xfId="0" applyNumberFormat="1" applyFont="1" applyAlignment="1" applyProtection="1">
      <alignment horizontal="left" vertical="center"/>
      <protection/>
    </xf>
    <xf numFmtId="223" fontId="24" fillId="0" borderId="0" xfId="0" applyNumberFormat="1" applyFont="1" applyAlignment="1" applyProtection="1">
      <alignment vertical="center" shrinkToFit="1"/>
      <protection/>
    </xf>
    <xf numFmtId="221" fontId="25" fillId="0" borderId="0" xfId="0" applyNumberFormat="1" applyFont="1" applyAlignment="1" applyProtection="1">
      <alignment horizontal="center" vertical="center"/>
      <protection/>
    </xf>
    <xf numFmtId="0" fontId="28" fillId="0" borderId="0" xfId="0" applyFont="1" applyAlignment="1" applyProtection="1">
      <alignment vertical="center"/>
      <protection/>
    </xf>
    <xf numFmtId="222" fontId="24" fillId="0" borderId="0" xfId="0" applyNumberFormat="1" applyFont="1" applyAlignment="1" applyProtection="1">
      <alignment vertical="center"/>
      <protection/>
    </xf>
    <xf numFmtId="0" fontId="30" fillId="0" borderId="0" xfId="0" applyFont="1" applyBorder="1" applyAlignment="1" applyProtection="1">
      <alignment vertical="center"/>
      <protection/>
    </xf>
    <xf numFmtId="0" fontId="26" fillId="0" borderId="0" xfId="0" applyFont="1" applyAlignment="1" applyProtection="1">
      <alignment horizontal="centerContinuous" vertical="center"/>
      <protection/>
    </xf>
    <xf numFmtId="0" fontId="24" fillId="0" borderId="20" xfId="0" applyFont="1" applyBorder="1" applyAlignment="1" applyProtection="1">
      <alignment vertical="center"/>
      <protection/>
    </xf>
    <xf numFmtId="184" fontId="24" fillId="0" borderId="0" xfId="0" applyNumberFormat="1" applyFont="1" applyAlignment="1" applyProtection="1">
      <alignment horizontal="centerContinuous" vertical="center"/>
      <protection/>
    </xf>
    <xf numFmtId="1" fontId="24" fillId="0" borderId="0" xfId="0" applyNumberFormat="1" applyFont="1" applyAlignment="1" applyProtection="1">
      <alignment vertical="center"/>
      <protection/>
    </xf>
    <xf numFmtId="0" fontId="31" fillId="0" borderId="0" xfId="0" applyFont="1" applyAlignment="1" applyProtection="1">
      <alignment horizontal="center" vertical="center"/>
      <protection/>
    </xf>
    <xf numFmtId="2" fontId="24" fillId="0" borderId="0" xfId="0" applyNumberFormat="1" applyFont="1" applyAlignment="1" applyProtection="1">
      <alignment horizontal="center" vertical="center"/>
      <protection/>
    </xf>
    <xf numFmtId="0" fontId="24" fillId="0" borderId="0" xfId="0" applyFont="1" applyAlignment="1" applyProtection="1">
      <alignment/>
      <protection/>
    </xf>
    <xf numFmtId="0" fontId="24" fillId="0" borderId="0" xfId="0" applyFont="1" applyBorder="1" applyAlignment="1" applyProtection="1">
      <alignment horizontal="right" vertical="center"/>
      <protection/>
    </xf>
    <xf numFmtId="0" fontId="24" fillId="0" borderId="0" xfId="0" applyFont="1" applyBorder="1" applyAlignment="1" applyProtection="1">
      <alignment vertical="center"/>
      <protection/>
    </xf>
    <xf numFmtId="0" fontId="24" fillId="0" borderId="0" xfId="0" applyFont="1" applyBorder="1" applyAlignment="1" applyProtection="1">
      <alignment horizontal="centerContinuous" vertical="center"/>
      <protection/>
    </xf>
    <xf numFmtId="0" fontId="24" fillId="0" borderId="0" xfId="0" applyFont="1" applyBorder="1" applyAlignment="1" applyProtection="1">
      <alignment horizontal="centerContinuous" vertical="center" shrinkToFit="1"/>
      <protection/>
    </xf>
    <xf numFmtId="0" fontId="24" fillId="0" borderId="0" xfId="0" applyFont="1" applyBorder="1" applyAlignment="1" applyProtection="1">
      <alignment horizontal="center" vertical="center"/>
      <protection/>
    </xf>
    <xf numFmtId="0" fontId="24" fillId="0" borderId="20" xfId="0" applyFont="1" applyBorder="1" applyAlignment="1" applyProtection="1">
      <alignment horizontal="centerContinuous" vertical="center" shrinkToFit="1"/>
      <protection/>
    </xf>
    <xf numFmtId="0" fontId="29" fillId="0" borderId="0" xfId="0" applyFont="1" applyBorder="1" applyAlignment="1" applyProtection="1">
      <alignment horizontal="left" vertical="center"/>
      <protection/>
    </xf>
    <xf numFmtId="184" fontId="24" fillId="0" borderId="0" xfId="0" applyNumberFormat="1" applyFont="1" applyBorder="1" applyAlignment="1" applyProtection="1">
      <alignment vertical="center"/>
      <protection/>
    </xf>
    <xf numFmtId="1" fontId="24" fillId="0" borderId="0" xfId="0" applyNumberFormat="1" applyFont="1" applyBorder="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1" fontId="4" fillId="0" borderId="0" xfId="0" applyNumberFormat="1"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vertical="center" textRotation="90"/>
      <protection/>
    </xf>
    <xf numFmtId="0" fontId="4" fillId="0" borderId="0" xfId="0" applyFont="1" applyBorder="1" applyAlignment="1" applyProtection="1">
      <alignment horizontal="right" vertical="center"/>
      <protection/>
    </xf>
    <xf numFmtId="0" fontId="4" fillId="0" borderId="0" xfId="0" applyFont="1" applyAlignment="1" applyProtection="1">
      <alignment horizontal="center" vertical="center" shrinkToFit="1"/>
      <protection/>
    </xf>
    <xf numFmtId="0" fontId="4" fillId="0" borderId="0" xfId="0" applyFont="1" applyAlignment="1" applyProtection="1">
      <alignment horizontal="centerContinuous" vertical="center"/>
      <protection/>
    </xf>
    <xf numFmtId="1" fontId="4" fillId="0" borderId="0" xfId="0" applyNumberFormat="1" applyFont="1" applyBorder="1" applyAlignment="1" applyProtection="1">
      <alignment horizontal="center" vertical="center"/>
      <protection/>
    </xf>
    <xf numFmtId="0" fontId="4" fillId="0" borderId="20" xfId="0" applyFont="1" applyBorder="1" applyAlignment="1" applyProtection="1">
      <alignment horizontal="center" vertical="center" shrinkToFit="1"/>
      <protection/>
    </xf>
    <xf numFmtId="0" fontId="4" fillId="0" borderId="20" xfId="0" applyFont="1" applyBorder="1" applyAlignment="1" applyProtection="1">
      <alignment horizontal="center" vertical="center"/>
      <protection/>
    </xf>
    <xf numFmtId="1" fontId="4" fillId="0" borderId="20" xfId="0" applyNumberFormat="1" applyFont="1" applyBorder="1" applyAlignment="1" applyProtection="1">
      <alignment horizontal="centerContinuous" vertical="center"/>
      <protection/>
    </xf>
    <xf numFmtId="0" fontId="4" fillId="0" borderId="20" xfId="0" applyFont="1" applyBorder="1" applyAlignment="1" applyProtection="1">
      <alignment horizontal="centerContinuous" vertical="center"/>
      <protection/>
    </xf>
    <xf numFmtId="0" fontId="21" fillId="0" borderId="0" xfId="0" applyFont="1" applyAlignment="1" applyProtection="1">
      <alignment horizontal="left" vertical="center"/>
      <protection/>
    </xf>
    <xf numFmtId="184" fontId="4" fillId="0" borderId="0" xfId="0" applyNumberFormat="1" applyFont="1" applyAlignment="1" applyProtection="1">
      <alignment horizontal="centerContinuous" vertical="center"/>
      <protection/>
    </xf>
    <xf numFmtId="184" fontId="4" fillId="0" borderId="0" xfId="0" applyNumberFormat="1" applyFont="1" applyBorder="1" applyAlignment="1" applyProtection="1">
      <alignment horizontal="center" vertical="center"/>
      <protection/>
    </xf>
    <xf numFmtId="0" fontId="21" fillId="0" borderId="0" xfId="0" applyFont="1" applyAlignment="1" applyProtection="1">
      <alignment horizontal="center" vertical="center"/>
      <protection/>
    </xf>
    <xf numFmtId="1" fontId="4" fillId="0" borderId="0" xfId="0" applyNumberFormat="1" applyFont="1" applyAlignment="1" applyProtection="1">
      <alignment horizontal="centerContinuous" vertical="center"/>
      <protection/>
    </xf>
    <xf numFmtId="0" fontId="4" fillId="0" borderId="0" xfId="0" applyFont="1" applyBorder="1" applyAlignment="1" applyProtection="1">
      <alignment horizontal="centerContinuous" vertical="center"/>
      <protection/>
    </xf>
    <xf numFmtId="0" fontId="33" fillId="0" borderId="0" xfId="0" applyFont="1" applyAlignment="1" applyProtection="1">
      <alignment horizontal="centerContinuous" vertical="center"/>
      <protection/>
    </xf>
    <xf numFmtId="228" fontId="4" fillId="0" borderId="0" xfId="0" applyNumberFormat="1" applyFont="1" applyBorder="1" applyAlignment="1" applyProtection="1">
      <alignment horizontal="right" vertical="center"/>
      <protection/>
    </xf>
    <xf numFmtId="1" fontId="4" fillId="0" borderId="0" xfId="0" applyNumberFormat="1" applyFont="1" applyAlignment="1" applyProtection="1">
      <alignment horizontal="center" vertical="center" shrinkToFit="1"/>
      <protection/>
    </xf>
    <xf numFmtId="0" fontId="33" fillId="0" borderId="0" xfId="0" applyFont="1" applyAlignment="1" applyProtection="1">
      <alignment horizontal="center" vertical="center"/>
      <protection/>
    </xf>
    <xf numFmtId="0" fontId="4" fillId="0" borderId="0" xfId="0" applyFont="1" applyBorder="1" applyAlignment="1" applyProtection="1">
      <alignment/>
      <protection/>
    </xf>
    <xf numFmtId="0" fontId="4" fillId="0" borderId="0" xfId="0" applyFont="1" applyAlignment="1" applyProtection="1">
      <alignment horizontal="left" indent="2"/>
      <protection/>
    </xf>
    <xf numFmtId="0" fontId="4" fillId="0" borderId="0" xfId="0" applyFont="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textRotation="90"/>
      <protection/>
    </xf>
    <xf numFmtId="1" fontId="4" fillId="0" borderId="0" xfId="0" applyNumberFormat="1" applyFont="1" applyAlignment="1" applyProtection="1">
      <alignment vertical="center"/>
      <protection/>
    </xf>
    <xf numFmtId="0" fontId="34" fillId="0" borderId="0" xfId="0" applyFont="1" applyAlignment="1" applyProtection="1">
      <alignment horizontal="center" vertical="center"/>
      <protection/>
    </xf>
    <xf numFmtId="188" fontId="24" fillId="0" borderId="0" xfId="0" applyNumberFormat="1" applyFont="1" applyAlignment="1" applyProtection="1">
      <alignment horizontal="centerContinuous" vertical="center"/>
      <protection/>
    </xf>
    <xf numFmtId="187" fontId="24" fillId="0" borderId="0" xfId="0" applyNumberFormat="1" applyFont="1" applyAlignment="1" applyProtection="1">
      <alignment horizontal="centerContinuous" vertical="center"/>
      <protection/>
    </xf>
    <xf numFmtId="0" fontId="26" fillId="0" borderId="0" xfId="0" applyFont="1" applyAlignment="1" applyProtection="1">
      <alignment horizontal="center" vertical="center"/>
      <protection/>
    </xf>
    <xf numFmtId="0" fontId="24" fillId="0" borderId="0" xfId="0" applyFont="1" applyAlignment="1" applyProtection="1">
      <alignment horizontal="center" vertical="top"/>
      <protection/>
    </xf>
    <xf numFmtId="0" fontId="24" fillId="0" borderId="0" xfId="0" applyFont="1" applyFill="1" applyAlignment="1" applyProtection="1">
      <alignment vertical="top"/>
      <protection/>
    </xf>
    <xf numFmtId="49" fontId="24" fillId="0" borderId="0" xfId="0" applyNumberFormat="1" applyFont="1" applyAlignment="1" applyProtection="1">
      <alignment horizontal="center" vertical="center"/>
      <protection/>
    </xf>
    <xf numFmtId="1" fontId="24" fillId="0" borderId="0" xfId="0" applyNumberFormat="1" applyFont="1" applyAlignment="1" applyProtection="1">
      <alignment horizontal="centerContinuous" vertical="top"/>
      <protection/>
    </xf>
    <xf numFmtId="0" fontId="24" fillId="0" borderId="0" xfId="0" applyFont="1" applyAlignment="1" applyProtection="1">
      <alignment horizontal="centerContinuous" vertical="top"/>
      <protection/>
    </xf>
    <xf numFmtId="188" fontId="24" fillId="0" borderId="0" xfId="0" applyNumberFormat="1" applyFont="1" applyAlignment="1" applyProtection="1">
      <alignment horizontal="centerContinuous" vertical="top"/>
      <protection/>
    </xf>
    <xf numFmtId="0" fontId="27" fillId="0" borderId="0" xfId="0" applyFont="1" applyAlignment="1" applyProtection="1">
      <alignment horizontal="centerContinuous" vertical="top"/>
      <protection/>
    </xf>
    <xf numFmtId="1" fontId="24" fillId="0" borderId="0" xfId="0" applyNumberFormat="1" applyFont="1" applyAlignment="1" applyProtection="1">
      <alignment vertical="top"/>
      <protection/>
    </xf>
    <xf numFmtId="9" fontId="24" fillId="0" borderId="0" xfId="0" applyNumberFormat="1" applyFont="1" applyAlignment="1" applyProtection="1">
      <alignment horizontal="center" vertical="top"/>
      <protection/>
    </xf>
    <xf numFmtId="1" fontId="24" fillId="0" borderId="0" xfId="0" applyNumberFormat="1" applyFont="1" applyAlignment="1" applyProtection="1">
      <alignment horizontal="center" vertical="top"/>
      <protection/>
    </xf>
    <xf numFmtId="0" fontId="36" fillId="0" borderId="0" xfId="0" applyFont="1" applyAlignment="1" applyProtection="1">
      <alignment horizontal="center" vertical="top"/>
      <protection/>
    </xf>
    <xf numFmtId="0" fontId="28" fillId="0" borderId="0" xfId="0" applyFont="1" applyAlignment="1" applyProtection="1">
      <alignment vertical="top"/>
      <protection/>
    </xf>
    <xf numFmtId="0" fontId="0" fillId="0" borderId="16" xfId="0" applyFont="1" applyBorder="1" applyAlignment="1">
      <alignment vertical="center"/>
    </xf>
    <xf numFmtId="0" fontId="0" fillId="0" borderId="18" xfId="0" applyFont="1" applyBorder="1" applyAlignment="1">
      <alignment vertical="center"/>
    </xf>
    <xf numFmtId="0" fontId="0" fillId="37" borderId="10" xfId="0" applyFont="1" applyFill="1" applyBorder="1" applyAlignment="1" applyProtection="1">
      <alignment horizontal="right" vertical="center"/>
      <protection locked="0"/>
    </xf>
    <xf numFmtId="0" fontId="0" fillId="37" borderId="10" xfId="0" applyFont="1" applyFill="1" applyBorder="1" applyAlignment="1" applyProtection="1">
      <alignment horizontal="right" vertical="center"/>
      <protection locked="0"/>
    </xf>
    <xf numFmtId="0" fontId="13" fillId="0" borderId="13" xfId="0" applyFont="1" applyBorder="1" applyAlignment="1">
      <alignment horizontal="center" vertical="center"/>
    </xf>
    <xf numFmtId="0" fontId="0" fillId="0" borderId="0" xfId="0" applyFont="1" applyBorder="1" applyAlignment="1">
      <alignment horizontal="center"/>
    </xf>
    <xf numFmtId="0" fontId="0" fillId="0" borderId="19" xfId="0" applyFont="1" applyBorder="1" applyAlignment="1">
      <alignment horizontal="center" vertical="center" shrinkToFit="1"/>
    </xf>
    <xf numFmtId="0" fontId="11" fillId="33" borderId="19" xfId="0" applyFont="1" applyFill="1" applyBorder="1" applyAlignment="1" applyProtection="1">
      <alignment vertical="center"/>
      <protection locked="0"/>
    </xf>
    <xf numFmtId="0" fontId="0" fillId="0" borderId="18"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11" fillId="33" borderId="13" xfId="0" applyFont="1" applyFill="1" applyBorder="1" applyAlignment="1" applyProtection="1">
      <alignment vertical="center"/>
      <protection locked="0"/>
    </xf>
    <xf numFmtId="0" fontId="0" fillId="0" borderId="18" xfId="0" applyFont="1" applyFill="1" applyBorder="1" applyAlignment="1">
      <alignment vertical="center"/>
    </xf>
    <xf numFmtId="1" fontId="0" fillId="37" borderId="10" xfId="0" applyNumberFormat="1" applyFont="1" applyFill="1" applyBorder="1" applyAlignment="1" applyProtection="1">
      <alignment horizontal="right" vertical="center"/>
      <protection locked="0"/>
    </xf>
    <xf numFmtId="0" fontId="1" fillId="37" borderId="10" xfId="0" applyFont="1" applyFill="1" applyBorder="1" applyAlignment="1" applyProtection="1">
      <alignment horizontal="right" vertical="center"/>
      <protection locked="0"/>
    </xf>
    <xf numFmtId="0" fontId="0" fillId="33" borderId="17"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2" xfId="0" applyFont="1" applyFill="1" applyBorder="1" applyAlignment="1" applyProtection="1">
      <alignment horizontal="right" vertical="center"/>
      <protection locked="0"/>
    </xf>
    <xf numFmtId="0" fontId="0" fillId="0" borderId="10" xfId="0" applyFont="1" applyBorder="1" applyAlignment="1">
      <alignment horizontal="center"/>
    </xf>
    <xf numFmtId="0" fontId="22" fillId="0" borderId="0" xfId="0" applyFont="1" applyFill="1" applyBorder="1" applyAlignment="1">
      <alignment horizontal="center" vertical="center"/>
    </xf>
    <xf numFmtId="0" fontId="0" fillId="38" borderId="10" xfId="0" applyFont="1" applyFill="1" applyBorder="1" applyAlignment="1" applyProtection="1">
      <alignment vertical="center"/>
      <protection locked="0"/>
    </xf>
    <xf numFmtId="0" fontId="0" fillId="36" borderId="10" xfId="0" applyFont="1" applyFill="1" applyBorder="1" applyAlignment="1" applyProtection="1">
      <alignment vertical="center"/>
      <protection locked="0"/>
    </xf>
    <xf numFmtId="0" fontId="0" fillId="0" borderId="0" xfId="0" applyFont="1" applyAlignment="1">
      <alignment wrapText="1"/>
    </xf>
    <xf numFmtId="0" fontId="0" fillId="0" borderId="0" xfId="0" applyFont="1" applyBorder="1" applyAlignment="1">
      <alignment/>
    </xf>
    <xf numFmtId="0" fontId="0" fillId="0" borderId="0" xfId="0" applyFont="1" applyAlignment="1">
      <alignment horizontal="right"/>
    </xf>
    <xf numFmtId="0" fontId="0" fillId="0" borderId="0" xfId="0" applyFont="1" applyAlignment="1" quotePrefix="1">
      <alignment horizontal="center"/>
    </xf>
    <xf numFmtId="1"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0" fontId="37" fillId="0" borderId="10" xfId="0" applyFont="1" applyBorder="1" applyAlignment="1" applyProtection="1">
      <alignment horizontal="center" vertical="center" shrinkToFit="1"/>
      <protection/>
    </xf>
    <xf numFmtId="0" fontId="37" fillId="0" borderId="0" xfId="0" applyFont="1" applyAlignment="1" applyProtection="1">
      <alignment horizontal="left" vertical="center"/>
      <protection/>
    </xf>
    <xf numFmtId="0" fontId="37" fillId="0" borderId="0" xfId="0" applyFont="1" applyAlignment="1" applyProtection="1">
      <alignment vertical="center"/>
      <protection/>
    </xf>
    <xf numFmtId="0" fontId="37" fillId="0" borderId="0" xfId="0" applyFont="1" applyAlignment="1" applyProtection="1">
      <alignment horizontal="right" vertical="center"/>
      <protection/>
    </xf>
    <xf numFmtId="0" fontId="37" fillId="0" borderId="0" xfId="0" applyFont="1" applyAlignment="1" applyProtection="1">
      <alignment horizontal="center" vertical="center"/>
      <protection/>
    </xf>
    <xf numFmtId="223" fontId="37" fillId="0" borderId="0" xfId="0" applyNumberFormat="1" applyFont="1" applyAlignment="1" applyProtection="1">
      <alignment horizontal="center" vertical="center"/>
      <protection/>
    </xf>
    <xf numFmtId="184" fontId="37" fillId="0" borderId="0" xfId="0" applyNumberFormat="1" applyFont="1" applyAlignment="1" applyProtection="1">
      <alignment horizontal="center" vertical="center"/>
      <protection/>
    </xf>
    <xf numFmtId="188" fontId="39" fillId="0" borderId="0" xfId="0" applyNumberFormat="1" applyFont="1" applyAlignment="1" applyProtection="1">
      <alignment horizontal="center" vertical="center"/>
      <protection/>
    </xf>
    <xf numFmtId="188" fontId="37" fillId="0" borderId="0" xfId="0" applyNumberFormat="1" applyFont="1" applyAlignment="1" applyProtection="1">
      <alignment horizontal="center" vertical="center"/>
      <protection/>
    </xf>
    <xf numFmtId="1" fontId="39" fillId="0" borderId="0" xfId="0" applyNumberFormat="1" applyFont="1" applyAlignment="1" applyProtection="1">
      <alignment horizontal="left" vertical="center"/>
      <protection/>
    </xf>
    <xf numFmtId="1" fontId="37" fillId="0" borderId="0" xfId="0" applyNumberFormat="1" applyFont="1" applyAlignment="1" applyProtection="1">
      <alignment horizontal="center" vertical="center"/>
      <protection/>
    </xf>
    <xf numFmtId="0" fontId="40" fillId="0" borderId="0" xfId="0" applyFont="1" applyAlignment="1" applyProtection="1">
      <alignment horizontal="center" vertical="center"/>
      <protection/>
    </xf>
    <xf numFmtId="0" fontId="37" fillId="0" borderId="0" xfId="0" applyFont="1" applyAlignment="1" applyProtection="1">
      <alignment horizontal="left" vertical="center" shrinkToFit="1"/>
      <protection/>
    </xf>
    <xf numFmtId="208" fontId="0" fillId="0" borderId="0" xfId="49" applyNumberFormat="1" applyFont="1" applyAlignment="1">
      <alignment/>
    </xf>
    <xf numFmtId="40" fontId="0" fillId="0" borderId="0" xfId="49" applyNumberFormat="1" applyFont="1" applyAlignment="1">
      <alignment/>
    </xf>
    <xf numFmtId="208" fontId="0" fillId="0" borderId="0" xfId="0" applyNumberFormat="1" applyFont="1" applyAlignment="1">
      <alignment/>
    </xf>
    <xf numFmtId="0" fontId="15" fillId="0" borderId="0" xfId="0" applyFont="1" applyAlignment="1">
      <alignment horizontal="left"/>
    </xf>
    <xf numFmtId="0" fontId="0" fillId="0" borderId="0" xfId="0" applyFont="1" applyAlignment="1" quotePrefix="1">
      <alignment horizontal="right"/>
    </xf>
    <xf numFmtId="0" fontId="15" fillId="0" borderId="0" xfId="0" applyFont="1" applyAlignment="1">
      <alignment horizontal="center"/>
    </xf>
    <xf numFmtId="40" fontId="0" fillId="0" borderId="0" xfId="0" applyNumberFormat="1" applyFont="1" applyAlignment="1">
      <alignment/>
    </xf>
    <xf numFmtId="184" fontId="0" fillId="0" borderId="0" xfId="0" applyNumberFormat="1" applyFont="1" applyAlignment="1">
      <alignment/>
    </xf>
    <xf numFmtId="0" fontId="0" fillId="0" borderId="11" xfId="0" applyFont="1" applyBorder="1" applyAlignment="1">
      <alignment horizontal="center"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right" vertical="center"/>
    </xf>
    <xf numFmtId="1" fontId="0" fillId="0" borderId="0" xfId="0" applyNumberFormat="1" applyFont="1" applyBorder="1" applyAlignment="1">
      <alignment horizontal="right" vertical="center"/>
    </xf>
    <xf numFmtId="0" fontId="0" fillId="0" borderId="12" xfId="0" applyFont="1" applyBorder="1" applyAlignment="1">
      <alignment vertical="center" shrinkToFit="1"/>
    </xf>
    <xf numFmtId="0" fontId="0" fillId="0" borderId="10" xfId="0" applyFont="1" applyBorder="1" applyAlignment="1">
      <alignment horizontal="center" shrinkToFit="1"/>
    </xf>
    <xf numFmtId="1" fontId="0" fillId="34" borderId="10" xfId="0" applyNumberFormat="1" applyFont="1" applyFill="1" applyBorder="1" applyAlignment="1">
      <alignment horizontal="center"/>
    </xf>
    <xf numFmtId="0" fontId="0" fillId="0" borderId="0" xfId="0" applyFont="1" applyFill="1" applyBorder="1" applyAlignment="1">
      <alignment horizontal="right"/>
    </xf>
    <xf numFmtId="0" fontId="6" fillId="0" borderId="0" xfId="0" applyFont="1" applyFill="1" applyBorder="1" applyAlignment="1">
      <alignment/>
    </xf>
    <xf numFmtId="0" fontId="0" fillId="0" borderId="0" xfId="0" applyFont="1" applyFill="1" applyBorder="1" applyAlignment="1">
      <alignment vertical="center"/>
    </xf>
    <xf numFmtId="210" fontId="6" fillId="0" borderId="0" xfId="0" applyNumberFormat="1" applyFont="1" applyFill="1" applyBorder="1" applyAlignment="1">
      <alignment/>
    </xf>
    <xf numFmtId="0" fontId="41" fillId="0" borderId="0" xfId="0" applyFont="1" applyAlignment="1">
      <alignment/>
    </xf>
    <xf numFmtId="0" fontId="0" fillId="0" borderId="0" xfId="0" applyFont="1" applyFill="1" applyBorder="1" applyAlignment="1">
      <alignment/>
    </xf>
    <xf numFmtId="1" fontId="41" fillId="0" borderId="0" xfId="0" applyNumberFormat="1" applyFont="1" applyAlignment="1">
      <alignment/>
    </xf>
    <xf numFmtId="209" fontId="41" fillId="0" borderId="0" xfId="49" applyNumberFormat="1" applyFont="1" applyAlignment="1">
      <alignment/>
    </xf>
    <xf numFmtId="194" fontId="0" fillId="0" borderId="0" xfId="0" applyNumberFormat="1" applyFont="1" applyBorder="1" applyAlignment="1">
      <alignment vertical="center" shrinkToFit="1"/>
    </xf>
    <xf numFmtId="0" fontId="0" fillId="0" borderId="14" xfId="0" applyFont="1" applyBorder="1" applyAlignment="1">
      <alignment/>
    </xf>
    <xf numFmtId="0" fontId="0" fillId="0" borderId="0" xfId="0" applyFont="1" applyBorder="1" applyAlignment="1">
      <alignment horizontal="right"/>
    </xf>
    <xf numFmtId="0" fontId="0" fillId="0" borderId="12" xfId="0" applyFont="1" applyBorder="1" applyAlignment="1">
      <alignment horizontal="left"/>
    </xf>
    <xf numFmtId="0" fontId="0" fillId="0" borderId="14" xfId="0" applyFont="1" applyBorder="1" applyAlignment="1">
      <alignment/>
    </xf>
    <xf numFmtId="0" fontId="0" fillId="0" borderId="14" xfId="0" applyFont="1" applyBorder="1" applyAlignment="1">
      <alignment/>
    </xf>
    <xf numFmtId="0" fontId="0" fillId="0" borderId="11" xfId="0" applyFont="1" applyBorder="1" applyAlignment="1">
      <alignment horizontal="center"/>
    </xf>
    <xf numFmtId="0" fontId="0" fillId="0" borderId="13" xfId="0" applyFont="1" applyBorder="1" applyAlignment="1">
      <alignment horizontal="center" vertical="center"/>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0" fillId="39" borderId="16" xfId="0" applyFont="1" applyFill="1" applyBorder="1" applyAlignment="1">
      <alignment horizontal="right"/>
    </xf>
    <xf numFmtId="0" fontId="0" fillId="39" borderId="10" xfId="0" applyFont="1" applyFill="1" applyBorder="1" applyAlignment="1">
      <alignment/>
    </xf>
    <xf numFmtId="0" fontId="1" fillId="39" borderId="10" xfId="0" applyFont="1" applyFill="1" applyBorder="1" applyAlignment="1">
      <alignment/>
    </xf>
    <xf numFmtId="0" fontId="0" fillId="0" borderId="0" xfId="0" applyFont="1" applyFill="1" applyBorder="1" applyAlignment="1">
      <alignment horizontal="right"/>
    </xf>
    <xf numFmtId="0" fontId="0" fillId="0" borderId="10" xfId="0" applyFont="1" applyBorder="1" applyAlignment="1">
      <alignment/>
    </xf>
    <xf numFmtId="0" fontId="0" fillId="0" borderId="10" xfId="0" applyFont="1" applyBorder="1" applyAlignment="1">
      <alignment/>
    </xf>
    <xf numFmtId="0" fontId="0" fillId="0" borderId="0" xfId="0" applyFont="1" applyAlignment="1">
      <alignment horizontal="right"/>
    </xf>
    <xf numFmtId="0" fontId="0" fillId="0" borderId="0" xfId="0" applyFont="1" applyFill="1" applyBorder="1" applyAlignment="1">
      <alignment horizontal="righ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39" borderId="10" xfId="0" applyFont="1" applyFill="1" applyBorder="1" applyAlignment="1">
      <alignment vertical="center"/>
    </xf>
    <xf numFmtId="0" fontId="0" fillId="35"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0" borderId="10" xfId="0" applyFont="1" applyFill="1" applyBorder="1" applyAlignment="1" applyProtection="1">
      <alignment/>
      <protection/>
    </xf>
    <xf numFmtId="0" fontId="0" fillId="33" borderId="10" xfId="0" applyFont="1" applyFill="1" applyBorder="1" applyAlignment="1" applyProtection="1">
      <alignment/>
      <protection locked="0"/>
    </xf>
    <xf numFmtId="0" fontId="6" fillId="0" borderId="14"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0" fillId="0" borderId="0" xfId="0" applyFont="1" applyBorder="1" applyAlignment="1">
      <alignment horizontal="right" vertical="center"/>
    </xf>
    <xf numFmtId="0" fontId="0" fillId="0" borderId="20"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Border="1" applyAlignment="1">
      <alignment/>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4" xfId="0" applyFont="1" applyBorder="1" applyAlignment="1">
      <alignment horizontal="right" vertical="center"/>
    </xf>
    <xf numFmtId="0" fontId="0" fillId="0" borderId="0" xfId="0" applyFont="1" applyBorder="1" applyAlignment="1">
      <alignment horizontal="right" vertical="center"/>
    </xf>
    <xf numFmtId="0" fontId="0" fillId="0" borderId="12" xfId="0" applyFont="1" applyBorder="1" applyAlignment="1">
      <alignment horizontal="right" vertical="center"/>
    </xf>
    <xf numFmtId="0" fontId="9" fillId="0" borderId="16"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0" fillId="0" borderId="0"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17" xfId="0" applyFont="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42"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14"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0" fillId="0" borderId="16"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shrinkToFit="1"/>
    </xf>
    <xf numFmtId="0" fontId="1" fillId="0" borderId="10" xfId="0" applyFont="1" applyBorder="1" applyAlignment="1">
      <alignment horizontal="center" vertical="center"/>
    </xf>
    <xf numFmtId="0" fontId="0" fillId="0" borderId="20" xfId="0" applyFont="1" applyBorder="1" applyAlignment="1">
      <alignment horizontal="right" vertical="center" shrinkToFit="1"/>
    </xf>
    <xf numFmtId="0" fontId="11" fillId="33" borderId="10" xfId="0" applyFont="1" applyFill="1" applyBorder="1" applyAlignment="1" applyProtection="1">
      <alignment horizontal="center" vertical="center"/>
      <protection locked="0"/>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33" borderId="10" xfId="0" applyFont="1" applyFill="1" applyBorder="1" applyAlignment="1">
      <alignment horizontal="left" shrinkToFit="1"/>
    </xf>
    <xf numFmtId="0" fontId="0" fillId="37" borderId="10" xfId="0" applyFont="1" applyFill="1" applyBorder="1" applyAlignment="1">
      <alignment horizontal="left" shrinkToFit="1"/>
    </xf>
    <xf numFmtId="0" fontId="0" fillId="36" borderId="10" xfId="0" applyFont="1" applyFill="1" applyBorder="1" applyAlignment="1">
      <alignment horizontal="left" shrinkToFi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12" fillId="0" borderId="14" xfId="0" applyFont="1" applyBorder="1" applyAlignment="1">
      <alignment horizontal="center" vertical="center" shrinkToFit="1"/>
    </xf>
    <xf numFmtId="0" fontId="12" fillId="0" borderId="0" xfId="0" applyFont="1" applyBorder="1" applyAlignment="1">
      <alignment horizontal="center" vertical="center" shrinkToFit="1"/>
    </xf>
    <xf numFmtId="0" fontId="27" fillId="0" borderId="0" xfId="0" applyFont="1" applyAlignment="1" applyProtection="1">
      <alignment horizontal="center" vertical="center"/>
      <protection/>
    </xf>
    <xf numFmtId="0" fontId="29" fillId="0" borderId="0" xfId="0" applyFont="1" applyAlignment="1" applyProtection="1">
      <alignment horizontal="left" vertical="center"/>
      <protection/>
    </xf>
    <xf numFmtId="0" fontId="24" fillId="0" borderId="0" xfId="0" applyFont="1" applyAlignment="1" applyProtection="1">
      <alignment horizontal="right" vertical="center" shrinkToFit="1"/>
      <protection/>
    </xf>
    <xf numFmtId="1" fontId="24" fillId="0" borderId="0" xfId="0" applyNumberFormat="1" applyFont="1" applyAlignment="1" applyProtection="1">
      <alignment horizontal="center" vertical="center"/>
      <protection/>
    </xf>
    <xf numFmtId="0" fontId="24" fillId="0" borderId="0" xfId="0" applyFont="1" applyAlignment="1" applyProtection="1">
      <alignment vertical="center" shrinkToFit="1"/>
      <protection/>
    </xf>
    <xf numFmtId="0" fontId="24" fillId="0" borderId="0" xfId="0" applyFont="1" applyAlignment="1" applyProtection="1">
      <alignment horizontal="center" vertical="center" shrinkToFit="1"/>
      <protection/>
    </xf>
    <xf numFmtId="220" fontId="24" fillId="0" borderId="0" xfId="0" applyNumberFormat="1" applyFont="1" applyAlignment="1" applyProtection="1">
      <alignment horizontal="center" vertical="center" shrinkToFit="1"/>
      <protection/>
    </xf>
    <xf numFmtId="0" fontId="24" fillId="0" borderId="0" xfId="0" applyFont="1" applyAlignment="1" applyProtection="1">
      <alignment horizontal="left" vertical="top" wrapText="1"/>
      <protection/>
    </xf>
    <xf numFmtId="0" fontId="24" fillId="0" borderId="0" xfId="0" applyFont="1" applyAlignment="1" applyProtection="1">
      <alignment horizontal="left" vertical="center" wrapText="1"/>
      <protection/>
    </xf>
    <xf numFmtId="187" fontId="25" fillId="0" borderId="0" xfId="0" applyNumberFormat="1" applyFont="1" applyAlignment="1" applyProtection="1">
      <alignment horizontal="center" vertical="center"/>
      <protection/>
    </xf>
    <xf numFmtId="188" fontId="24" fillId="0" borderId="0" xfId="0" applyNumberFormat="1"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4" fillId="0" borderId="0" xfId="0" applyFont="1" applyAlignment="1" applyProtection="1">
      <alignment horizontal="left" vertical="center" shrinkToFit="1"/>
      <protection/>
    </xf>
    <xf numFmtId="0" fontId="24" fillId="0" borderId="0" xfId="0" applyFont="1" applyAlignment="1" applyProtection="1">
      <alignment horizontal="left" vertical="center"/>
      <protection/>
    </xf>
    <xf numFmtId="0" fontId="24" fillId="0" borderId="0" xfId="0" applyNumberFormat="1" applyFont="1" applyAlignment="1" applyProtection="1">
      <alignment horizontal="left" vertical="top" indent="3"/>
      <protection/>
    </xf>
    <xf numFmtId="0" fontId="25" fillId="0" borderId="0" xfId="0" applyNumberFormat="1" applyFont="1" applyAlignment="1" applyProtection="1">
      <alignment horizontal="center" vertical="center"/>
      <protection/>
    </xf>
    <xf numFmtId="188" fontId="25" fillId="0" borderId="0" xfId="0" applyNumberFormat="1" applyFont="1" applyAlignment="1" applyProtection="1">
      <alignment horizontal="center" vertical="center"/>
      <protection/>
    </xf>
    <xf numFmtId="1" fontId="24" fillId="0" borderId="20" xfId="0" applyNumberFormat="1" applyFont="1" applyBorder="1" applyAlignment="1" applyProtection="1">
      <alignment horizontal="center" vertical="center"/>
      <protection/>
    </xf>
    <xf numFmtId="1" fontId="24" fillId="0" borderId="23" xfId="0" applyNumberFormat="1" applyFont="1" applyBorder="1" applyAlignment="1" applyProtection="1">
      <alignment horizontal="center" vertical="center"/>
      <protection/>
    </xf>
    <xf numFmtId="184" fontId="24" fillId="0" borderId="0" xfId="0" applyNumberFormat="1" applyFont="1" applyAlignment="1" applyProtection="1">
      <alignment horizontal="center" vertical="center"/>
      <protection/>
    </xf>
    <xf numFmtId="1" fontId="24" fillId="0" borderId="0" xfId="0" applyNumberFormat="1" applyFont="1" applyAlignment="1" applyProtection="1">
      <alignment horizontal="left" vertical="center"/>
      <protection/>
    </xf>
    <xf numFmtId="184" fontId="24" fillId="0" borderId="20" xfId="0" applyNumberFormat="1" applyFont="1" applyBorder="1" applyAlignment="1" applyProtection="1">
      <alignment horizontal="center" vertical="center"/>
      <protection/>
    </xf>
    <xf numFmtId="0" fontId="4" fillId="0" borderId="0" xfId="0" applyFont="1" applyAlignment="1" applyProtection="1">
      <alignment horizontal="left" vertical="top"/>
      <protection/>
    </xf>
    <xf numFmtId="0" fontId="24" fillId="0" borderId="20" xfId="0" applyFont="1" applyBorder="1" applyAlignment="1" applyProtection="1">
      <alignment horizontal="center" vertical="center"/>
      <protection/>
    </xf>
    <xf numFmtId="1" fontId="24" fillId="0" borderId="0" xfId="0" applyNumberFormat="1"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2" fontId="24" fillId="0" borderId="0" xfId="0" applyNumberFormat="1" applyFont="1" applyAlignment="1" applyProtection="1">
      <alignment horizontal="center" vertical="center"/>
      <protection/>
    </xf>
    <xf numFmtId="193" fontId="24" fillId="0" borderId="0" xfId="0" applyNumberFormat="1" applyFont="1" applyAlignment="1" applyProtection="1">
      <alignment horizontal="center" vertical="center"/>
      <protection/>
    </xf>
    <xf numFmtId="187" fontId="24" fillId="0" borderId="0" xfId="0" applyNumberFormat="1" applyFont="1" applyBorder="1" applyAlignment="1" applyProtection="1">
      <alignment horizontal="center" vertical="center"/>
      <protection/>
    </xf>
    <xf numFmtId="184" fontId="24" fillId="0" borderId="0" xfId="0" applyNumberFormat="1" applyFont="1" applyBorder="1" applyAlignment="1" applyProtection="1">
      <alignment horizontal="center" vertical="center"/>
      <protection/>
    </xf>
    <xf numFmtId="193" fontId="24" fillId="0" borderId="0" xfId="0" applyNumberFormat="1" applyFont="1" applyBorder="1" applyAlignment="1" applyProtection="1">
      <alignment horizontal="center" vertical="center"/>
      <protection/>
    </xf>
    <xf numFmtId="187" fontId="24" fillId="0" borderId="0" xfId="0" applyNumberFormat="1" applyFont="1" applyAlignment="1" applyProtection="1">
      <alignment horizontal="center" vertical="center"/>
      <protection/>
    </xf>
    <xf numFmtId="193" fontId="24" fillId="0" borderId="20" xfId="0" applyNumberFormat="1" applyFont="1" applyBorder="1" applyAlignment="1" applyProtection="1">
      <alignment horizontal="center" vertical="center"/>
      <protection/>
    </xf>
    <xf numFmtId="193" fontId="24" fillId="0" borderId="23" xfId="0" applyNumberFormat="1" applyFont="1" applyBorder="1" applyAlignment="1" applyProtection="1">
      <alignment horizontal="center" vertical="center"/>
      <protection/>
    </xf>
    <xf numFmtId="0" fontId="33" fillId="0" borderId="0" xfId="0" applyFont="1" applyAlignment="1" applyProtection="1">
      <alignment horizontal="center" vertical="center"/>
      <protection/>
    </xf>
    <xf numFmtId="1" fontId="4" fillId="0" borderId="0" xfId="0" applyNumberFormat="1" applyFont="1" applyAlignment="1" applyProtection="1">
      <alignment horizontal="center" vertical="center"/>
      <protection/>
    </xf>
    <xf numFmtId="0" fontId="33"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shrinkToFit="1"/>
      <protection/>
    </xf>
    <xf numFmtId="2" fontId="4" fillId="0" borderId="0" xfId="0" applyNumberFormat="1" applyFont="1" applyAlignment="1" applyProtection="1">
      <alignment horizontal="center" vertical="center"/>
      <protection/>
    </xf>
    <xf numFmtId="1" fontId="4" fillId="0" borderId="0" xfId="0" applyNumberFormat="1" applyFont="1" applyBorder="1" applyAlignment="1" applyProtection="1">
      <alignment horizontal="center" vertical="center"/>
      <protection/>
    </xf>
    <xf numFmtId="1" fontId="4" fillId="0" borderId="20" xfId="0" applyNumberFormat="1" applyFont="1" applyBorder="1" applyAlignment="1" applyProtection="1">
      <alignment horizontal="center" vertical="center"/>
      <protection/>
    </xf>
    <xf numFmtId="0" fontId="32" fillId="0" borderId="0" xfId="0" applyFont="1" applyAlignment="1" applyProtection="1">
      <alignment horizontal="center" vertical="center"/>
      <protection/>
    </xf>
    <xf numFmtId="1" fontId="4" fillId="0" borderId="23" xfId="0" applyNumberFormat="1" applyFont="1" applyBorder="1" applyAlignment="1" applyProtection="1">
      <alignment horizontal="center" vertical="center"/>
      <protection/>
    </xf>
    <xf numFmtId="184" fontId="4" fillId="0" borderId="0" xfId="0" applyNumberFormat="1" applyFont="1" applyAlignment="1" applyProtection="1">
      <alignment horizontal="center" vertical="center"/>
      <protection/>
    </xf>
    <xf numFmtId="184" fontId="4" fillId="0" borderId="20" xfId="0" applyNumberFormat="1" applyFont="1" applyBorder="1" applyAlignment="1" applyProtection="1">
      <alignment horizontal="center" vertical="center"/>
      <protection/>
    </xf>
    <xf numFmtId="0" fontId="4" fillId="0" borderId="0" xfId="0" applyFont="1" applyAlignment="1" applyProtection="1">
      <alignment horizontal="left" vertical="top" wrapText="1"/>
      <protection/>
    </xf>
    <xf numFmtId="184" fontId="4" fillId="0" borderId="0" xfId="0" applyNumberFormat="1" applyFont="1" applyAlignment="1" applyProtection="1">
      <alignment horizontal="left" vertical="center"/>
      <protection/>
    </xf>
    <xf numFmtId="0" fontId="4" fillId="0" borderId="0" xfId="0" applyFont="1" applyAlignment="1" applyProtection="1">
      <alignment horizontal="center"/>
      <protection/>
    </xf>
    <xf numFmtId="0" fontId="4" fillId="0" borderId="0" xfId="0" applyNumberFormat="1" applyFont="1" applyAlignment="1" applyProtection="1">
      <alignment horizontal="center" vertical="center"/>
      <protection/>
    </xf>
    <xf numFmtId="0" fontId="4" fillId="0" borderId="0" xfId="0" applyFont="1" applyBorder="1" applyAlignment="1" applyProtection="1">
      <alignment horizontal="center" vertical="center"/>
      <protection/>
    </xf>
    <xf numFmtId="0" fontId="37" fillId="0" borderId="0" xfId="0" applyFont="1" applyAlignment="1" applyProtection="1">
      <alignment horizontal="left" vertical="center"/>
      <protection/>
    </xf>
    <xf numFmtId="0" fontId="37" fillId="0" borderId="0" xfId="0" applyNumberFormat="1" applyFont="1" applyAlignment="1" applyProtection="1">
      <alignment horizontal="center" vertical="center"/>
      <protection/>
    </xf>
    <xf numFmtId="0" fontId="37" fillId="0" borderId="0" xfId="0" applyFont="1" applyAlignment="1" applyProtection="1">
      <alignment horizontal="center" vertical="center"/>
      <protection/>
    </xf>
    <xf numFmtId="1" fontId="37" fillId="0" borderId="10" xfId="0" applyNumberFormat="1" applyFont="1" applyBorder="1" applyAlignment="1" applyProtection="1">
      <alignment horizontal="center" vertical="center" shrinkToFit="1"/>
      <protection/>
    </xf>
    <xf numFmtId="0" fontId="37" fillId="0" borderId="10" xfId="0" applyFont="1" applyBorder="1" applyAlignment="1" applyProtection="1">
      <alignment horizontal="center" vertical="center" shrinkToFit="1"/>
      <protection/>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wrapText="1"/>
    </xf>
    <xf numFmtId="0" fontId="37" fillId="0" borderId="10" xfId="0" applyFont="1" applyBorder="1" applyAlignment="1" applyProtection="1">
      <alignment horizontal="center" vertical="center"/>
      <protection/>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top" wrapText="1"/>
    </xf>
    <xf numFmtId="1" fontId="24" fillId="0" borderId="0" xfId="0" applyNumberFormat="1" applyFont="1" applyAlignment="1">
      <alignment horizontal="center" vertical="center"/>
    </xf>
    <xf numFmtId="229" fontId="24" fillId="0" borderId="0" xfId="0" applyNumberFormat="1" applyFont="1" applyAlignment="1">
      <alignment horizontal="center" vertical="center"/>
    </xf>
    <xf numFmtId="0" fontId="24" fillId="0" borderId="0" xfId="0" applyFont="1" applyAlignment="1" applyProtection="1">
      <alignment vertical="top" wrapText="1"/>
      <protection/>
    </xf>
    <xf numFmtId="0" fontId="29" fillId="0" borderId="0" xfId="0" applyFont="1" applyAlignment="1" applyProtection="1">
      <alignment horizontal="left" vertical="center" shrinkToFit="1"/>
      <protection/>
    </xf>
    <xf numFmtId="0" fontId="27" fillId="0" borderId="0" xfId="0" applyFont="1" applyAlignment="1">
      <alignment horizontal="center" vertical="center"/>
    </xf>
    <xf numFmtId="184" fontId="24" fillId="0" borderId="0" xfId="0" applyNumberFormat="1" applyFont="1" applyAlignment="1">
      <alignment horizontal="center" vertical="center"/>
    </xf>
    <xf numFmtId="2" fontId="24" fillId="0" borderId="0" xfId="0" applyNumberFormat="1" applyFont="1" applyAlignment="1">
      <alignment horizontal="center" vertical="center"/>
    </xf>
    <xf numFmtId="0" fontId="24" fillId="0" borderId="0" xfId="0" applyFont="1" applyAlignment="1">
      <alignment vertical="top" wrapText="1"/>
    </xf>
    <xf numFmtId="188" fontId="24" fillId="0" borderId="0" xfId="0" applyNumberFormat="1" applyFont="1" applyAlignment="1">
      <alignment horizontal="center" vertical="center"/>
    </xf>
    <xf numFmtId="1" fontId="24" fillId="0" borderId="0" xfId="0" applyNumberFormat="1" applyFont="1" applyAlignment="1">
      <alignment horizontal="center" vertical="center" shrinkToFit="1"/>
    </xf>
    <xf numFmtId="0" fontId="2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font>
        <color indexed="9"/>
      </font>
      <border>
        <left/>
        <right/>
        <top/>
        <bottom/>
      </border>
    </dxf>
    <dxf>
      <font>
        <color indexed="9"/>
      </font>
      <border>
        <left/>
        <right/>
        <top/>
        <bottom/>
      </border>
    </dxf>
    <dxf>
      <fill>
        <patternFill>
          <bgColor indexed="46"/>
        </patternFill>
      </fill>
    </dxf>
    <dxf>
      <font>
        <b/>
        <i val="0"/>
        <color indexed="9"/>
      </font>
      <fill>
        <patternFill>
          <bgColor indexed="8"/>
        </patternFill>
      </fill>
    </dxf>
    <dxf>
      <font>
        <color indexed="9"/>
      </font>
      <fill>
        <patternFill patternType="none">
          <bgColor indexed="65"/>
        </patternFill>
      </fill>
    </dxf>
    <dxf>
      <font>
        <color indexed="22"/>
      </font>
      <fill>
        <patternFill patternType="none">
          <bgColor indexed="65"/>
        </patternFill>
      </fill>
    </dxf>
    <dxf>
      <font>
        <color indexed="55"/>
      </font>
      <fill>
        <patternFill>
          <bgColor indexed="55"/>
        </patternFill>
      </fill>
    </dxf>
    <dxf>
      <font>
        <color indexed="55"/>
      </font>
      <fill>
        <patternFill>
          <bgColor indexed="55"/>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indexed="9"/>
      </font>
      <fill>
        <patternFill>
          <bgColor indexed="8"/>
        </patternFill>
      </fill>
      <border>
        <left style="thin"/>
        <right style="thin"/>
        <top style="thin"/>
        <bottom style="thin"/>
      </border>
    </dxf>
    <dxf>
      <font>
        <color indexed="9"/>
      </font>
      <fill>
        <patternFill>
          <bgColor indexed="22"/>
        </patternFill>
      </fill>
    </dxf>
    <dxf>
      <fill>
        <patternFill>
          <bgColor indexed="10"/>
        </patternFill>
      </fill>
    </dxf>
    <dxf>
      <font>
        <color rgb="FFFFFFFF"/>
      </font>
      <fill>
        <patternFill>
          <bgColor rgb="FFC0C0C0"/>
        </patternFill>
      </fill>
      <border/>
    </dxf>
    <dxf>
      <font>
        <color rgb="FFFFFFFF"/>
      </font>
      <fill>
        <patternFill>
          <bgColor rgb="FF000000"/>
        </patternFill>
      </fill>
      <border>
        <left style="thin">
          <color rgb="FF000000"/>
        </left>
        <right style="thin">
          <color rgb="FF000000"/>
        </right>
        <top style="thin"/>
        <bottom style="thin">
          <color rgb="FF000000"/>
        </bottom>
      </border>
    </dxf>
    <dxf>
      <font>
        <color rgb="FF969696"/>
      </font>
      <fill>
        <patternFill>
          <bgColor rgb="FF969696"/>
        </patternFill>
      </fill>
      <border/>
    </dxf>
    <dxf>
      <font>
        <color rgb="FFC0C0C0"/>
      </font>
      <fill>
        <patternFill patternType="none">
          <bgColor indexed="65"/>
        </patternFill>
      </fill>
      <border/>
    </dxf>
    <dxf>
      <font>
        <color rgb="FFFFFFFF"/>
      </font>
      <fill>
        <patternFill patternType="none">
          <bgColor indexed="65"/>
        </patternFill>
      </fill>
      <border/>
    </dxf>
    <dxf>
      <font>
        <b/>
        <i val="0"/>
        <color rgb="FFFFFFFF"/>
      </font>
      <fill>
        <patternFill>
          <bgColor rgb="FF000000"/>
        </patternFill>
      </fill>
      <border/>
    </dxf>
    <dxf>
      <font>
        <color rgb="FFFFFFFF"/>
      </font>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9525</xdr:rowOff>
    </xdr:from>
    <xdr:to>
      <xdr:col>17</xdr:col>
      <xdr:colOff>57150</xdr:colOff>
      <xdr:row>14</xdr:row>
      <xdr:rowOff>152400</xdr:rowOff>
    </xdr:to>
    <xdr:grpSp>
      <xdr:nvGrpSpPr>
        <xdr:cNvPr id="1" name="Group 180"/>
        <xdr:cNvGrpSpPr>
          <a:grpSpLocks/>
        </xdr:cNvGrpSpPr>
      </xdr:nvGrpSpPr>
      <xdr:grpSpPr>
        <a:xfrm>
          <a:off x="266700" y="1152525"/>
          <a:ext cx="5457825" cy="1857375"/>
          <a:chOff x="28" y="121"/>
          <a:chExt cx="573" cy="195"/>
        </a:xfrm>
        <a:solidFill>
          <a:srgbClr val="FFFFFF"/>
        </a:solidFill>
      </xdr:grpSpPr>
      <xdr:sp>
        <xdr:nvSpPr>
          <xdr:cNvPr id="2" name="テキスト 51"/>
          <xdr:cNvSpPr txBox="1">
            <a:spLocks noChangeArrowheads="1"/>
          </xdr:cNvSpPr>
        </xdr:nvSpPr>
        <xdr:spPr>
          <a:xfrm>
            <a:off x="107" y="134"/>
            <a:ext cx="78"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t2</a:t>
            </a:r>
            <a:r>
              <a:rPr lang="en-US" cap="none" sz="1100" b="0" i="0" u="none" baseline="0">
                <a:solidFill>
                  <a:srgbClr val="000000"/>
                </a:solidFill>
                <a:latin typeface="ＭＳ Ｐゴシック"/>
                <a:ea typeface="ＭＳ Ｐゴシック"/>
                <a:cs typeface="ＭＳ Ｐゴシック"/>
              </a:rPr>
              <a:t>）</a:t>
            </a:r>
          </a:p>
        </xdr:txBody>
      </xdr:sp>
      <xdr:sp>
        <xdr:nvSpPr>
          <xdr:cNvPr id="3" name="Line 113"/>
          <xdr:cNvSpPr>
            <a:spLocks/>
          </xdr:cNvSpPr>
        </xdr:nvSpPr>
        <xdr:spPr>
          <a:xfrm flipV="1">
            <a:off x="45" y="219"/>
            <a:ext cx="26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14"/>
          <xdr:cNvSpPr>
            <a:spLocks/>
          </xdr:cNvSpPr>
        </xdr:nvSpPr>
        <xdr:spPr>
          <a:xfrm>
            <a:off x="50" y="219"/>
            <a:ext cx="0" cy="68"/>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12"/>
          <xdr:cNvSpPr txBox="1">
            <a:spLocks noChangeArrowheads="1"/>
          </xdr:cNvSpPr>
        </xdr:nvSpPr>
        <xdr:spPr>
          <a:xfrm>
            <a:off x="28" y="247"/>
            <a:ext cx="22" cy="14"/>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ゴシック"/>
                <a:ea typeface="ＭＳ Ｐゴシック"/>
                <a:cs typeface="ＭＳ Ｐゴシック"/>
              </a:rPr>
              <a:t>H</a:t>
            </a:r>
          </a:p>
        </xdr:txBody>
      </xdr:sp>
      <xdr:sp>
        <xdr:nvSpPr>
          <xdr:cNvPr id="6" name="Rectangle 116"/>
          <xdr:cNvSpPr>
            <a:spLocks/>
          </xdr:cNvSpPr>
        </xdr:nvSpPr>
        <xdr:spPr>
          <a:xfrm>
            <a:off x="79" y="278"/>
            <a:ext cx="242"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17"/>
          <xdr:cNvSpPr>
            <a:spLocks/>
          </xdr:cNvSpPr>
        </xdr:nvSpPr>
        <xdr:spPr>
          <a:xfrm>
            <a:off x="117" y="192"/>
            <a:ext cx="73" cy="1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18"/>
          <xdr:cNvSpPr>
            <a:spLocks/>
          </xdr:cNvSpPr>
        </xdr:nvSpPr>
        <xdr:spPr>
          <a:xfrm>
            <a:off x="117" y="236"/>
            <a:ext cx="73" cy="1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9"/>
          <xdr:cNvSpPr>
            <a:spLocks/>
          </xdr:cNvSpPr>
        </xdr:nvSpPr>
        <xdr:spPr>
          <a:xfrm flipH="1" flipV="1">
            <a:off x="253" y="219"/>
            <a:ext cx="44" cy="0"/>
          </a:xfrm>
          <a:prstGeom prst="line">
            <a:avLst/>
          </a:prstGeom>
          <a:noFill/>
          <a:ln w="2476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27"/>
          <xdr:cNvSpPr txBox="1">
            <a:spLocks noChangeArrowheads="1"/>
          </xdr:cNvSpPr>
        </xdr:nvSpPr>
        <xdr:spPr>
          <a:xfrm>
            <a:off x="279" y="198"/>
            <a:ext cx="13"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P</a:t>
            </a:r>
          </a:p>
        </xdr:txBody>
      </xdr:sp>
      <xdr:sp>
        <xdr:nvSpPr>
          <xdr:cNvPr id="11" name="Line 121"/>
          <xdr:cNvSpPr>
            <a:spLocks/>
          </xdr:cNvSpPr>
        </xdr:nvSpPr>
        <xdr:spPr>
          <a:xfrm flipH="1">
            <a:off x="206" y="158"/>
            <a:ext cx="16"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2"/>
          <xdr:cNvSpPr>
            <a:spLocks/>
          </xdr:cNvSpPr>
        </xdr:nvSpPr>
        <xdr:spPr>
          <a:xfrm flipH="1" flipV="1">
            <a:off x="75" y="192"/>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23"/>
          <xdr:cNvSpPr>
            <a:spLocks/>
          </xdr:cNvSpPr>
        </xdr:nvSpPr>
        <xdr:spPr>
          <a:xfrm flipH="1">
            <a:off x="75" y="202"/>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24"/>
          <xdr:cNvSpPr>
            <a:spLocks/>
          </xdr:cNvSpPr>
        </xdr:nvSpPr>
        <xdr:spPr>
          <a:xfrm>
            <a:off x="85" y="192"/>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25"/>
          <xdr:cNvSpPr>
            <a:spLocks/>
          </xdr:cNvSpPr>
        </xdr:nvSpPr>
        <xdr:spPr>
          <a:xfrm>
            <a:off x="85" y="172"/>
            <a:ext cx="0" cy="2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26"/>
          <xdr:cNvSpPr>
            <a:spLocks/>
          </xdr:cNvSpPr>
        </xdr:nvSpPr>
        <xdr:spPr>
          <a:xfrm flipV="1">
            <a:off x="85" y="201"/>
            <a:ext cx="0" cy="1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テキスト 43"/>
          <xdr:cNvSpPr txBox="1">
            <a:spLocks noChangeArrowheads="1"/>
          </xdr:cNvSpPr>
        </xdr:nvSpPr>
        <xdr:spPr>
          <a:xfrm>
            <a:off x="59" y="188"/>
            <a:ext cx="22" cy="17"/>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ゴシック"/>
                <a:ea typeface="ＭＳ Ｐゴシック"/>
                <a:cs typeface="ＭＳ Ｐゴシック"/>
              </a:rPr>
              <a:t>t2</a:t>
            </a:r>
          </a:p>
        </xdr:txBody>
      </xdr:sp>
      <xdr:sp>
        <xdr:nvSpPr>
          <xdr:cNvPr id="18" name="Line 128"/>
          <xdr:cNvSpPr>
            <a:spLocks/>
          </xdr:cNvSpPr>
        </xdr:nvSpPr>
        <xdr:spPr>
          <a:xfrm flipV="1">
            <a:off x="117" y="154"/>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29"/>
          <xdr:cNvSpPr>
            <a:spLocks/>
          </xdr:cNvSpPr>
        </xdr:nvSpPr>
        <xdr:spPr>
          <a:xfrm>
            <a:off x="225" y="181"/>
            <a:ext cx="1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30"/>
          <xdr:cNvSpPr>
            <a:spLocks/>
          </xdr:cNvSpPr>
        </xdr:nvSpPr>
        <xdr:spPr>
          <a:xfrm>
            <a:off x="225" y="256"/>
            <a:ext cx="1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テキスト 50"/>
          <xdr:cNvSpPr txBox="1">
            <a:spLocks noChangeArrowheads="1"/>
          </xdr:cNvSpPr>
        </xdr:nvSpPr>
        <xdr:spPr>
          <a:xfrm>
            <a:off x="308" y="212"/>
            <a:ext cx="22" cy="11"/>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ゴシック"/>
                <a:ea typeface="ＭＳ Ｐゴシック"/>
                <a:cs typeface="ＭＳ Ｐゴシック"/>
              </a:rPr>
              <a:t>a</a:t>
            </a:r>
          </a:p>
        </xdr:txBody>
      </xdr:sp>
      <xdr:sp>
        <xdr:nvSpPr>
          <xdr:cNvPr id="22" name="Rectangle 132"/>
          <xdr:cNvSpPr>
            <a:spLocks/>
          </xdr:cNvSpPr>
        </xdr:nvSpPr>
        <xdr:spPr>
          <a:xfrm>
            <a:off x="190" y="181"/>
            <a:ext cx="17" cy="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33"/>
          <xdr:cNvSpPr>
            <a:spLocks/>
          </xdr:cNvSpPr>
        </xdr:nvSpPr>
        <xdr:spPr>
          <a:xfrm flipV="1">
            <a:off x="190" y="152"/>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34"/>
          <xdr:cNvSpPr>
            <a:spLocks/>
          </xdr:cNvSpPr>
        </xdr:nvSpPr>
        <xdr:spPr>
          <a:xfrm flipV="1">
            <a:off x="207" y="152"/>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35"/>
          <xdr:cNvSpPr>
            <a:spLocks/>
          </xdr:cNvSpPr>
        </xdr:nvSpPr>
        <xdr:spPr>
          <a:xfrm>
            <a:off x="190" y="15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36"/>
          <xdr:cNvSpPr>
            <a:spLocks/>
          </xdr:cNvSpPr>
        </xdr:nvSpPr>
        <xdr:spPr>
          <a:xfrm>
            <a:off x="190" y="256"/>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137"/>
          <xdr:cNvSpPr>
            <a:spLocks/>
          </xdr:cNvSpPr>
        </xdr:nvSpPr>
        <xdr:spPr>
          <a:xfrm>
            <a:off x="207" y="256"/>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38"/>
          <xdr:cNvSpPr>
            <a:spLocks/>
          </xdr:cNvSpPr>
        </xdr:nvSpPr>
        <xdr:spPr>
          <a:xfrm flipH="1">
            <a:off x="47" y="287"/>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139"/>
          <xdr:cNvSpPr>
            <a:spLocks/>
          </xdr:cNvSpPr>
        </xdr:nvSpPr>
        <xdr:spPr>
          <a:xfrm flipH="1">
            <a:off x="116" y="158"/>
            <a:ext cx="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35"/>
          <xdr:cNvSpPr txBox="1">
            <a:spLocks noChangeArrowheads="1"/>
          </xdr:cNvSpPr>
        </xdr:nvSpPr>
        <xdr:spPr>
          <a:xfrm>
            <a:off x="194" y="134"/>
            <a:ext cx="17"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t1</a:t>
            </a:r>
          </a:p>
        </xdr:txBody>
      </xdr:sp>
      <xdr:sp>
        <xdr:nvSpPr>
          <xdr:cNvPr id="31" name="Line 141"/>
          <xdr:cNvSpPr>
            <a:spLocks/>
          </xdr:cNvSpPr>
        </xdr:nvSpPr>
        <xdr:spPr>
          <a:xfrm>
            <a:off x="330" y="181"/>
            <a:ext cx="0" cy="74"/>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42"/>
          <xdr:cNvSpPr>
            <a:spLocks/>
          </xdr:cNvSpPr>
        </xdr:nvSpPr>
        <xdr:spPr>
          <a:xfrm>
            <a:off x="441" y="180"/>
            <a:ext cx="13" cy="99"/>
          </a:xfrm>
          <a:prstGeom prst="rect">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43"/>
          <xdr:cNvSpPr>
            <a:spLocks/>
          </xdr:cNvSpPr>
        </xdr:nvSpPr>
        <xdr:spPr>
          <a:xfrm>
            <a:off x="569" y="180"/>
            <a:ext cx="12" cy="99"/>
          </a:xfrm>
          <a:prstGeom prst="rect">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44"/>
          <xdr:cNvSpPr>
            <a:spLocks/>
          </xdr:cNvSpPr>
        </xdr:nvSpPr>
        <xdr:spPr>
          <a:xfrm>
            <a:off x="454" y="193"/>
            <a:ext cx="115" cy="9"/>
          </a:xfrm>
          <a:prstGeom prst="rect">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45"/>
          <xdr:cNvSpPr>
            <a:spLocks/>
          </xdr:cNvSpPr>
        </xdr:nvSpPr>
        <xdr:spPr>
          <a:xfrm>
            <a:off x="454" y="236"/>
            <a:ext cx="115" cy="11"/>
          </a:xfrm>
          <a:prstGeom prst="rect">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46"/>
          <xdr:cNvSpPr>
            <a:spLocks/>
          </xdr:cNvSpPr>
        </xdr:nvSpPr>
        <xdr:spPr>
          <a:xfrm flipV="1">
            <a:off x="454" y="145"/>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47"/>
          <xdr:cNvSpPr>
            <a:spLocks/>
          </xdr:cNvSpPr>
        </xdr:nvSpPr>
        <xdr:spPr>
          <a:xfrm flipV="1">
            <a:off x="569" y="145"/>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テキスト 61"/>
          <xdr:cNvSpPr txBox="1">
            <a:spLocks noChangeArrowheads="1"/>
          </xdr:cNvSpPr>
        </xdr:nvSpPr>
        <xdr:spPr>
          <a:xfrm>
            <a:off x="501" y="130"/>
            <a:ext cx="12"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L</a:t>
            </a:r>
          </a:p>
        </xdr:txBody>
      </xdr:sp>
      <xdr:sp>
        <xdr:nvSpPr>
          <xdr:cNvPr id="39" name="Oval 149"/>
          <xdr:cNvSpPr>
            <a:spLocks/>
          </xdr:cNvSpPr>
        </xdr:nvSpPr>
        <xdr:spPr>
          <a:xfrm>
            <a:off x="497" y="209"/>
            <a:ext cx="23"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50"/>
          <xdr:cNvSpPr>
            <a:spLocks/>
          </xdr:cNvSpPr>
        </xdr:nvSpPr>
        <xdr:spPr>
          <a:xfrm>
            <a:off x="421" y="279"/>
            <a:ext cx="180" cy="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51"/>
          <xdr:cNvSpPr>
            <a:spLocks/>
          </xdr:cNvSpPr>
        </xdr:nvSpPr>
        <xdr:spPr>
          <a:xfrm flipH="1">
            <a:off x="423" y="172"/>
            <a:ext cx="15"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52"/>
          <xdr:cNvSpPr>
            <a:spLocks/>
          </xdr:cNvSpPr>
        </xdr:nvSpPr>
        <xdr:spPr>
          <a:xfrm>
            <a:off x="583" y="172"/>
            <a:ext cx="16"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53"/>
          <xdr:cNvSpPr>
            <a:spLocks/>
          </xdr:cNvSpPr>
        </xdr:nvSpPr>
        <xdr:spPr>
          <a:xfrm>
            <a:off x="438" y="172"/>
            <a:ext cx="1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54"/>
          <xdr:cNvSpPr>
            <a:spLocks/>
          </xdr:cNvSpPr>
        </xdr:nvSpPr>
        <xdr:spPr>
          <a:xfrm>
            <a:off x="423" y="217"/>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55"/>
          <xdr:cNvSpPr>
            <a:spLocks/>
          </xdr:cNvSpPr>
        </xdr:nvSpPr>
        <xdr:spPr>
          <a:xfrm flipH="1">
            <a:off x="599" y="216"/>
            <a:ext cx="0" cy="6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56"/>
          <xdr:cNvSpPr>
            <a:spLocks/>
          </xdr:cNvSpPr>
        </xdr:nvSpPr>
        <xdr:spPr>
          <a:xfrm flipH="1">
            <a:off x="454" y="151"/>
            <a:ext cx="114"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57"/>
          <xdr:cNvSpPr>
            <a:spLocks/>
          </xdr:cNvSpPr>
        </xdr:nvSpPr>
        <xdr:spPr>
          <a:xfrm>
            <a:off x="207" y="172"/>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58"/>
          <xdr:cNvSpPr>
            <a:spLocks/>
          </xdr:cNvSpPr>
        </xdr:nvSpPr>
        <xdr:spPr>
          <a:xfrm>
            <a:off x="190" y="172"/>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59"/>
          <xdr:cNvSpPr>
            <a:spLocks/>
          </xdr:cNvSpPr>
        </xdr:nvSpPr>
        <xdr:spPr>
          <a:xfrm>
            <a:off x="190" y="17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60"/>
          <xdr:cNvSpPr>
            <a:spLocks/>
          </xdr:cNvSpPr>
        </xdr:nvSpPr>
        <xdr:spPr>
          <a:xfrm flipV="1">
            <a:off x="190" y="240"/>
            <a:ext cx="17" cy="1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61"/>
          <xdr:cNvSpPr>
            <a:spLocks/>
          </xdr:cNvSpPr>
        </xdr:nvSpPr>
        <xdr:spPr>
          <a:xfrm>
            <a:off x="190" y="182"/>
            <a:ext cx="17" cy="1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162"/>
          <xdr:cNvSpPr>
            <a:spLocks/>
          </xdr:cNvSpPr>
        </xdr:nvSpPr>
        <xdr:spPr>
          <a:xfrm>
            <a:off x="207" y="197"/>
            <a:ext cx="28" cy="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63"/>
          <xdr:cNvSpPr>
            <a:spLocks/>
          </xdr:cNvSpPr>
        </xdr:nvSpPr>
        <xdr:spPr>
          <a:xfrm>
            <a:off x="235" y="205"/>
            <a:ext cx="16" cy="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64"/>
          <xdr:cNvSpPr>
            <a:spLocks/>
          </xdr:cNvSpPr>
        </xdr:nvSpPr>
        <xdr:spPr>
          <a:xfrm>
            <a:off x="220" y="197"/>
            <a:ext cx="0" cy="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65"/>
          <xdr:cNvSpPr>
            <a:spLocks/>
          </xdr:cNvSpPr>
        </xdr:nvSpPr>
        <xdr:spPr>
          <a:xfrm flipH="1">
            <a:off x="214" y="142"/>
            <a:ext cx="28" cy="6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66"/>
          <xdr:cNvSpPr>
            <a:spLocks/>
          </xdr:cNvSpPr>
        </xdr:nvSpPr>
        <xdr:spPr>
          <a:xfrm>
            <a:off x="242" y="142"/>
            <a:ext cx="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テキスト 35"/>
          <xdr:cNvSpPr txBox="1">
            <a:spLocks noChangeArrowheads="1"/>
          </xdr:cNvSpPr>
        </xdr:nvSpPr>
        <xdr:spPr>
          <a:xfrm>
            <a:off x="245" y="121"/>
            <a:ext cx="49"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緩衝材</a:t>
            </a:r>
          </a:p>
        </xdr:txBody>
      </xdr:sp>
      <xdr:sp>
        <xdr:nvSpPr>
          <xdr:cNvPr id="58" name="テキスト 35"/>
          <xdr:cNvSpPr txBox="1">
            <a:spLocks noChangeArrowheads="1"/>
          </xdr:cNvSpPr>
        </xdr:nvSpPr>
        <xdr:spPr>
          <a:xfrm>
            <a:off x="248" y="154"/>
            <a:ext cx="49"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支圧板</a:t>
            </a:r>
          </a:p>
        </xdr:txBody>
      </xdr:sp>
      <xdr:sp>
        <xdr:nvSpPr>
          <xdr:cNvPr id="59" name="テキスト 35"/>
          <xdr:cNvSpPr txBox="1">
            <a:spLocks noChangeArrowheads="1"/>
          </xdr:cNvSpPr>
        </xdr:nvSpPr>
        <xdr:spPr>
          <a:xfrm>
            <a:off x="289" y="294"/>
            <a:ext cx="69"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定着ナット</a:t>
            </a:r>
          </a:p>
        </xdr:txBody>
      </xdr:sp>
      <xdr:sp>
        <xdr:nvSpPr>
          <xdr:cNvPr id="60" name="Line 170"/>
          <xdr:cNvSpPr>
            <a:spLocks/>
          </xdr:cNvSpPr>
        </xdr:nvSpPr>
        <xdr:spPr>
          <a:xfrm flipH="1">
            <a:off x="227" y="174"/>
            <a:ext cx="20" cy="28"/>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71"/>
          <xdr:cNvSpPr>
            <a:spLocks/>
          </xdr:cNvSpPr>
        </xdr:nvSpPr>
        <xdr:spPr>
          <a:xfrm>
            <a:off x="247" y="174"/>
            <a:ext cx="52"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72"/>
          <xdr:cNvSpPr>
            <a:spLocks/>
          </xdr:cNvSpPr>
        </xdr:nvSpPr>
        <xdr:spPr>
          <a:xfrm flipH="1" flipV="1">
            <a:off x="243" y="228"/>
            <a:ext cx="36" cy="87"/>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73"/>
          <xdr:cNvSpPr>
            <a:spLocks/>
          </xdr:cNvSpPr>
        </xdr:nvSpPr>
        <xdr:spPr>
          <a:xfrm>
            <a:off x="279" y="315"/>
            <a:ext cx="8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Rectangle 174"/>
          <xdr:cNvSpPr>
            <a:spLocks/>
          </xdr:cNvSpPr>
        </xdr:nvSpPr>
        <xdr:spPr>
          <a:xfrm>
            <a:off x="173" y="192"/>
            <a:ext cx="16" cy="1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Rectangle 175"/>
          <xdr:cNvSpPr>
            <a:spLocks/>
          </xdr:cNvSpPr>
        </xdr:nvSpPr>
        <xdr:spPr>
          <a:xfrm>
            <a:off x="173" y="236"/>
            <a:ext cx="16" cy="1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76"/>
          <xdr:cNvSpPr>
            <a:spLocks/>
          </xdr:cNvSpPr>
        </xdr:nvSpPr>
        <xdr:spPr>
          <a:xfrm>
            <a:off x="174" y="178"/>
            <a:ext cx="1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Text Box 177"/>
          <xdr:cNvSpPr txBox="1">
            <a:spLocks noChangeArrowheads="1"/>
          </xdr:cNvSpPr>
        </xdr:nvSpPr>
        <xdr:spPr>
          <a:xfrm>
            <a:off x="147" y="164"/>
            <a:ext cx="17" cy="18"/>
          </a:xfrm>
          <a:prstGeom prst="rect">
            <a:avLst/>
          </a:prstGeom>
          <a:noFill/>
          <a:ln w="0"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R1</a:t>
            </a:r>
          </a:p>
        </xdr:txBody>
      </xdr:sp>
      <xdr:sp>
        <xdr:nvSpPr>
          <xdr:cNvPr id="68" name="Line 178"/>
          <xdr:cNvSpPr>
            <a:spLocks/>
          </xdr:cNvSpPr>
        </xdr:nvSpPr>
        <xdr:spPr>
          <a:xfrm>
            <a:off x="173" y="173"/>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76200</xdr:rowOff>
    </xdr:from>
    <xdr:to>
      <xdr:col>9</xdr:col>
      <xdr:colOff>219075</xdr:colOff>
      <xdr:row>23</xdr:row>
      <xdr:rowOff>47625</xdr:rowOff>
    </xdr:to>
    <xdr:grpSp>
      <xdr:nvGrpSpPr>
        <xdr:cNvPr id="1" name="Group 140"/>
        <xdr:cNvGrpSpPr>
          <a:grpSpLocks/>
        </xdr:cNvGrpSpPr>
      </xdr:nvGrpSpPr>
      <xdr:grpSpPr>
        <a:xfrm>
          <a:off x="428625" y="1028700"/>
          <a:ext cx="2790825" cy="3781425"/>
          <a:chOff x="45" y="108"/>
          <a:chExt cx="293" cy="397"/>
        </a:xfrm>
        <a:solidFill>
          <a:srgbClr val="FFFFFF"/>
        </a:solidFill>
      </xdr:grpSpPr>
      <xdr:sp>
        <xdr:nvSpPr>
          <xdr:cNvPr id="2" name="Rectangle 55"/>
          <xdr:cNvSpPr>
            <a:spLocks/>
          </xdr:cNvSpPr>
        </xdr:nvSpPr>
        <xdr:spPr>
          <a:xfrm>
            <a:off x="223" y="180"/>
            <a:ext cx="70" cy="1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56"/>
          <xdr:cNvSpPr>
            <a:spLocks/>
          </xdr:cNvSpPr>
        </xdr:nvSpPr>
        <xdr:spPr>
          <a:xfrm>
            <a:off x="211" y="288"/>
            <a:ext cx="23" cy="2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83"/>
          <xdr:cNvSpPr txBox="1">
            <a:spLocks noChangeArrowheads="1"/>
          </xdr:cNvSpPr>
        </xdr:nvSpPr>
        <xdr:spPr>
          <a:xfrm>
            <a:off x="240" y="108"/>
            <a:ext cx="86"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b2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t3</a:t>
            </a:r>
            <a:r>
              <a:rPr lang="en-US" cap="none" sz="1100" b="0" i="0" u="none" baseline="0">
                <a:solidFill>
                  <a:srgbClr val="000000"/>
                </a:solidFill>
                <a:latin typeface="ＭＳ Ｐゴシック"/>
                <a:ea typeface="ＭＳ Ｐゴシック"/>
                <a:cs typeface="ＭＳ Ｐゴシック"/>
              </a:rPr>
              <a:t>）</a:t>
            </a:r>
          </a:p>
        </xdr:txBody>
      </xdr:sp>
      <xdr:sp>
        <xdr:nvSpPr>
          <xdr:cNvPr id="5" name="テキスト 105"/>
          <xdr:cNvSpPr txBox="1">
            <a:spLocks noChangeArrowheads="1"/>
          </xdr:cNvSpPr>
        </xdr:nvSpPr>
        <xdr:spPr>
          <a:xfrm>
            <a:off x="45" y="263"/>
            <a:ext cx="22" cy="14"/>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ゴシック"/>
                <a:ea typeface="ＭＳ Ｐゴシック"/>
                <a:cs typeface="ＭＳ Ｐゴシック"/>
              </a:rPr>
              <a:t>H</a:t>
            </a:r>
          </a:p>
        </xdr:txBody>
      </xdr:sp>
      <xdr:sp>
        <xdr:nvSpPr>
          <xdr:cNvPr id="6" name="テキスト 83"/>
          <xdr:cNvSpPr txBox="1">
            <a:spLocks noChangeArrowheads="1"/>
          </xdr:cNvSpPr>
        </xdr:nvSpPr>
        <xdr:spPr>
          <a:xfrm>
            <a:off x="112" y="108"/>
            <a:ext cx="86"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b1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t3</a:t>
            </a:r>
            <a:r>
              <a:rPr lang="en-US" cap="none" sz="1100" b="0" i="0" u="none" baseline="0">
                <a:solidFill>
                  <a:srgbClr val="000000"/>
                </a:solidFill>
                <a:latin typeface="ＭＳ Ｐゴシック"/>
                <a:ea typeface="ＭＳ Ｐゴシック"/>
                <a:cs typeface="ＭＳ Ｐゴシック"/>
              </a:rPr>
              <a:t>）</a:t>
            </a:r>
          </a:p>
        </xdr:txBody>
      </xdr:sp>
      <xdr:sp>
        <xdr:nvSpPr>
          <xdr:cNvPr id="7" name="Line 60"/>
          <xdr:cNvSpPr>
            <a:spLocks/>
          </xdr:cNvSpPr>
        </xdr:nvSpPr>
        <xdr:spPr>
          <a:xfrm>
            <a:off x="67" y="226"/>
            <a:ext cx="0" cy="84"/>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テキスト 109"/>
          <xdr:cNvSpPr txBox="1">
            <a:spLocks noChangeArrowheads="1"/>
          </xdr:cNvSpPr>
        </xdr:nvSpPr>
        <xdr:spPr>
          <a:xfrm>
            <a:off x="267" y="204"/>
            <a:ext cx="13" cy="22"/>
          </a:xfrm>
          <a:prstGeom prst="rect">
            <a:avLst/>
          </a:prstGeom>
          <a:solidFill>
            <a:srgbClr val="FFFFFF"/>
          </a:solid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P</a:t>
            </a:r>
          </a:p>
        </xdr:txBody>
      </xdr:sp>
      <xdr:sp>
        <xdr:nvSpPr>
          <xdr:cNvPr id="9" name="Line 62"/>
          <xdr:cNvSpPr>
            <a:spLocks/>
          </xdr:cNvSpPr>
        </xdr:nvSpPr>
        <xdr:spPr>
          <a:xfrm flipV="1">
            <a:off x="205" y="13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63"/>
          <xdr:cNvSpPr>
            <a:spLocks/>
          </xdr:cNvSpPr>
        </xdr:nvSpPr>
        <xdr:spPr>
          <a:xfrm flipV="1">
            <a:off x="223" y="133"/>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64"/>
          <xdr:cNvSpPr>
            <a:spLocks/>
          </xdr:cNvSpPr>
        </xdr:nvSpPr>
        <xdr:spPr>
          <a:xfrm flipH="1">
            <a:off x="222" y="138"/>
            <a:ext cx="73"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65"/>
          <xdr:cNvSpPr>
            <a:spLocks/>
          </xdr:cNvSpPr>
        </xdr:nvSpPr>
        <xdr:spPr>
          <a:xfrm>
            <a:off x="205" y="13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テキスト 115"/>
          <xdr:cNvSpPr txBox="1">
            <a:spLocks noChangeArrowheads="1"/>
          </xdr:cNvSpPr>
        </xdr:nvSpPr>
        <xdr:spPr>
          <a:xfrm>
            <a:off x="207" y="110"/>
            <a:ext cx="17"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t1</a:t>
            </a:r>
          </a:p>
        </xdr:txBody>
      </xdr:sp>
      <xdr:sp>
        <xdr:nvSpPr>
          <xdr:cNvPr id="14" name="Line 67"/>
          <xdr:cNvSpPr>
            <a:spLocks/>
          </xdr:cNvSpPr>
        </xdr:nvSpPr>
        <xdr:spPr>
          <a:xfrm>
            <a:off x="96" y="180"/>
            <a:ext cx="0"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68"/>
          <xdr:cNvSpPr>
            <a:spLocks/>
          </xdr:cNvSpPr>
        </xdr:nvSpPr>
        <xdr:spPr>
          <a:xfrm>
            <a:off x="117" y="180"/>
            <a:ext cx="88" cy="1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69"/>
          <xdr:cNvSpPr>
            <a:spLocks/>
          </xdr:cNvSpPr>
        </xdr:nvSpPr>
        <xdr:spPr>
          <a:xfrm flipH="1">
            <a:off x="57" y="310"/>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0"/>
          <xdr:cNvSpPr>
            <a:spLocks/>
          </xdr:cNvSpPr>
        </xdr:nvSpPr>
        <xdr:spPr>
          <a:xfrm flipH="1">
            <a:off x="96" y="180"/>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1"/>
          <xdr:cNvSpPr>
            <a:spLocks/>
          </xdr:cNvSpPr>
        </xdr:nvSpPr>
        <xdr:spPr>
          <a:xfrm flipH="1" flipV="1">
            <a:off x="245" y="226"/>
            <a:ext cx="52" cy="0"/>
          </a:xfrm>
          <a:prstGeom prst="line">
            <a:avLst/>
          </a:prstGeom>
          <a:noFill/>
          <a:ln w="2476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72"/>
          <xdr:cNvSpPr>
            <a:spLocks/>
          </xdr:cNvSpPr>
        </xdr:nvSpPr>
        <xdr:spPr>
          <a:xfrm>
            <a:off x="224" y="180"/>
            <a:ext cx="58"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73"/>
          <xdr:cNvSpPr>
            <a:spLocks/>
          </xdr:cNvSpPr>
        </xdr:nvSpPr>
        <xdr:spPr>
          <a:xfrm flipH="1">
            <a:off x="116" y="138"/>
            <a:ext cx="9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74"/>
          <xdr:cNvSpPr>
            <a:spLocks/>
          </xdr:cNvSpPr>
        </xdr:nvSpPr>
        <xdr:spPr>
          <a:xfrm flipV="1">
            <a:off x="117" y="134"/>
            <a:ext cx="0" cy="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75"/>
          <xdr:cNvSpPr>
            <a:spLocks/>
          </xdr:cNvSpPr>
        </xdr:nvSpPr>
        <xdr:spPr>
          <a:xfrm flipV="1">
            <a:off x="293" y="135"/>
            <a:ext cx="0" cy="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76"/>
          <xdr:cNvSpPr>
            <a:spLocks/>
          </xdr:cNvSpPr>
        </xdr:nvSpPr>
        <xdr:spPr>
          <a:xfrm>
            <a:off x="57" y="226"/>
            <a:ext cx="256"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9"/>
          <xdr:cNvSpPr>
            <a:spLocks/>
          </xdr:cNvSpPr>
        </xdr:nvSpPr>
        <xdr:spPr>
          <a:xfrm>
            <a:off x="101" y="435"/>
            <a:ext cx="192"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80"/>
          <xdr:cNvSpPr>
            <a:spLocks/>
          </xdr:cNvSpPr>
        </xdr:nvSpPr>
        <xdr:spPr>
          <a:xfrm>
            <a:off x="205" y="367"/>
            <a:ext cx="18" cy="136"/>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81"/>
          <xdr:cNvSpPr>
            <a:spLocks/>
          </xdr:cNvSpPr>
        </xdr:nvSpPr>
        <xdr:spPr>
          <a:xfrm>
            <a:off x="117" y="401"/>
            <a:ext cx="88" cy="1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82"/>
          <xdr:cNvSpPr>
            <a:spLocks/>
          </xdr:cNvSpPr>
        </xdr:nvSpPr>
        <xdr:spPr>
          <a:xfrm>
            <a:off x="117" y="459"/>
            <a:ext cx="88" cy="1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85"/>
          <xdr:cNvSpPr>
            <a:spLocks/>
          </xdr:cNvSpPr>
        </xdr:nvSpPr>
        <xdr:spPr>
          <a:xfrm flipH="1">
            <a:off x="88" y="401"/>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86"/>
          <xdr:cNvSpPr>
            <a:spLocks/>
          </xdr:cNvSpPr>
        </xdr:nvSpPr>
        <xdr:spPr>
          <a:xfrm flipH="1">
            <a:off x="87" y="412"/>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87"/>
          <xdr:cNvSpPr>
            <a:spLocks/>
          </xdr:cNvSpPr>
        </xdr:nvSpPr>
        <xdr:spPr>
          <a:xfrm>
            <a:off x="91" y="401"/>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88"/>
          <xdr:cNvSpPr>
            <a:spLocks/>
          </xdr:cNvSpPr>
        </xdr:nvSpPr>
        <xdr:spPr>
          <a:xfrm>
            <a:off x="91" y="384"/>
            <a:ext cx="0" cy="17"/>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89"/>
          <xdr:cNvSpPr>
            <a:spLocks/>
          </xdr:cNvSpPr>
        </xdr:nvSpPr>
        <xdr:spPr>
          <a:xfrm flipV="1">
            <a:off x="91" y="412"/>
            <a:ext cx="0" cy="2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テキスト 66"/>
          <xdr:cNvSpPr txBox="1">
            <a:spLocks noChangeArrowheads="1"/>
          </xdr:cNvSpPr>
        </xdr:nvSpPr>
        <xdr:spPr>
          <a:xfrm>
            <a:off x="61" y="396"/>
            <a:ext cx="22" cy="17"/>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ゴシック"/>
                <a:ea typeface="ＭＳ Ｐゴシック"/>
                <a:cs typeface="ＭＳ Ｐゴシック"/>
              </a:rPr>
              <a:t>t3</a:t>
            </a:r>
          </a:p>
        </xdr:txBody>
      </xdr:sp>
      <xdr:sp>
        <xdr:nvSpPr>
          <xdr:cNvPr id="34" name="Line 91"/>
          <xdr:cNvSpPr>
            <a:spLocks/>
          </xdr:cNvSpPr>
        </xdr:nvSpPr>
        <xdr:spPr>
          <a:xfrm flipV="1">
            <a:off x="117" y="351"/>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93"/>
          <xdr:cNvSpPr>
            <a:spLocks/>
          </xdr:cNvSpPr>
        </xdr:nvSpPr>
        <xdr:spPr>
          <a:xfrm>
            <a:off x="227" y="503"/>
            <a:ext cx="1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94"/>
          <xdr:cNvSpPr>
            <a:spLocks/>
          </xdr:cNvSpPr>
        </xdr:nvSpPr>
        <xdr:spPr>
          <a:xfrm>
            <a:off x="328" y="366"/>
            <a:ext cx="0" cy="139"/>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テキスト 73"/>
          <xdr:cNvSpPr txBox="1">
            <a:spLocks noChangeArrowheads="1"/>
          </xdr:cNvSpPr>
        </xdr:nvSpPr>
        <xdr:spPr>
          <a:xfrm>
            <a:off x="306" y="423"/>
            <a:ext cx="22" cy="11"/>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ゴシック"/>
                <a:ea typeface="ＭＳ Ｐゴシック"/>
                <a:cs typeface="ＭＳ Ｐゴシック"/>
              </a:rPr>
              <a:t>a</a:t>
            </a:r>
          </a:p>
        </xdr:txBody>
      </xdr:sp>
      <xdr:sp>
        <xdr:nvSpPr>
          <xdr:cNvPr id="38" name="Rectangle 97"/>
          <xdr:cNvSpPr>
            <a:spLocks/>
          </xdr:cNvSpPr>
        </xdr:nvSpPr>
        <xdr:spPr>
          <a:xfrm>
            <a:off x="223" y="399"/>
            <a:ext cx="70" cy="1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98"/>
          <xdr:cNvSpPr>
            <a:spLocks/>
          </xdr:cNvSpPr>
        </xdr:nvSpPr>
        <xdr:spPr>
          <a:xfrm>
            <a:off x="223" y="461"/>
            <a:ext cx="70" cy="1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99"/>
          <xdr:cNvSpPr>
            <a:spLocks/>
          </xdr:cNvSpPr>
        </xdr:nvSpPr>
        <xdr:spPr>
          <a:xfrm flipV="1">
            <a:off x="293" y="350"/>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00"/>
          <xdr:cNvSpPr>
            <a:spLocks/>
          </xdr:cNvSpPr>
        </xdr:nvSpPr>
        <xdr:spPr>
          <a:xfrm>
            <a:off x="193" y="160"/>
            <a:ext cx="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Text Box 101"/>
          <xdr:cNvSpPr txBox="1">
            <a:spLocks noChangeArrowheads="1"/>
          </xdr:cNvSpPr>
        </xdr:nvSpPr>
        <xdr:spPr>
          <a:xfrm>
            <a:off x="184" y="141"/>
            <a:ext cx="17" cy="18"/>
          </a:xfrm>
          <a:prstGeom prst="rect">
            <a:avLst/>
          </a:prstGeom>
          <a:noFill/>
          <a:ln w="0"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R1</a:t>
            </a:r>
          </a:p>
        </xdr:txBody>
      </xdr:sp>
      <xdr:sp>
        <xdr:nvSpPr>
          <xdr:cNvPr id="43" name="Oval 103"/>
          <xdr:cNvSpPr>
            <a:spLocks/>
          </xdr:cNvSpPr>
        </xdr:nvSpPr>
        <xdr:spPr>
          <a:xfrm>
            <a:off x="194" y="288"/>
            <a:ext cx="21" cy="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04"/>
          <xdr:cNvSpPr>
            <a:spLocks/>
          </xdr:cNvSpPr>
        </xdr:nvSpPr>
        <xdr:spPr>
          <a:xfrm>
            <a:off x="205" y="174"/>
            <a:ext cx="18" cy="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05"/>
          <xdr:cNvSpPr>
            <a:spLocks/>
          </xdr:cNvSpPr>
        </xdr:nvSpPr>
        <xdr:spPr>
          <a:xfrm>
            <a:off x="84" y="299"/>
            <a:ext cx="221" cy="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06"/>
          <xdr:cNvSpPr>
            <a:spLocks/>
          </xdr:cNvSpPr>
        </xdr:nvSpPr>
        <xdr:spPr>
          <a:xfrm flipV="1">
            <a:off x="193" y="157"/>
            <a:ext cx="0" cy="1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07"/>
          <xdr:cNvSpPr>
            <a:spLocks/>
          </xdr:cNvSpPr>
        </xdr:nvSpPr>
        <xdr:spPr>
          <a:xfrm flipV="1">
            <a:off x="235" y="157"/>
            <a:ext cx="0" cy="1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110"/>
          <xdr:cNvSpPr txBox="1">
            <a:spLocks noChangeArrowheads="1"/>
          </xdr:cNvSpPr>
        </xdr:nvSpPr>
        <xdr:spPr>
          <a:xfrm>
            <a:off x="224" y="141"/>
            <a:ext cx="17" cy="18"/>
          </a:xfrm>
          <a:prstGeom prst="rect">
            <a:avLst/>
          </a:prstGeom>
          <a:noFill/>
          <a:ln w="0"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R1</a:t>
            </a:r>
          </a:p>
        </xdr:txBody>
      </xdr:sp>
      <xdr:sp>
        <xdr:nvSpPr>
          <xdr:cNvPr id="49" name="Line 118"/>
          <xdr:cNvSpPr>
            <a:spLocks/>
          </xdr:cNvSpPr>
        </xdr:nvSpPr>
        <xdr:spPr>
          <a:xfrm flipV="1">
            <a:off x="193" y="372"/>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19"/>
          <xdr:cNvSpPr>
            <a:spLocks/>
          </xdr:cNvSpPr>
        </xdr:nvSpPr>
        <xdr:spPr>
          <a:xfrm flipV="1">
            <a:off x="234" y="37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120"/>
          <xdr:cNvSpPr>
            <a:spLocks/>
          </xdr:cNvSpPr>
        </xdr:nvSpPr>
        <xdr:spPr>
          <a:xfrm>
            <a:off x="193" y="401"/>
            <a:ext cx="11" cy="11"/>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121"/>
          <xdr:cNvSpPr>
            <a:spLocks/>
          </xdr:cNvSpPr>
        </xdr:nvSpPr>
        <xdr:spPr>
          <a:xfrm>
            <a:off x="193" y="459"/>
            <a:ext cx="12" cy="10"/>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22"/>
          <xdr:cNvSpPr>
            <a:spLocks/>
          </xdr:cNvSpPr>
        </xdr:nvSpPr>
        <xdr:spPr>
          <a:xfrm>
            <a:off x="223" y="461"/>
            <a:ext cx="12" cy="9"/>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Rectangle 123"/>
          <xdr:cNvSpPr>
            <a:spLocks/>
          </xdr:cNvSpPr>
        </xdr:nvSpPr>
        <xdr:spPr>
          <a:xfrm>
            <a:off x="223" y="399"/>
            <a:ext cx="11" cy="10"/>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26"/>
          <xdr:cNvSpPr>
            <a:spLocks/>
          </xdr:cNvSpPr>
        </xdr:nvSpPr>
        <xdr:spPr>
          <a:xfrm>
            <a:off x="223" y="160"/>
            <a:ext cx="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テキスト 83"/>
          <xdr:cNvSpPr txBox="1">
            <a:spLocks noChangeArrowheads="1"/>
          </xdr:cNvSpPr>
        </xdr:nvSpPr>
        <xdr:spPr>
          <a:xfrm>
            <a:off x="240" y="324"/>
            <a:ext cx="86"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b2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t3</a:t>
            </a:r>
            <a:r>
              <a:rPr lang="en-US" cap="none" sz="1100" b="0" i="0" u="none" baseline="0">
                <a:solidFill>
                  <a:srgbClr val="000000"/>
                </a:solidFill>
                <a:latin typeface="ＭＳ Ｐゴシック"/>
                <a:ea typeface="ＭＳ Ｐゴシック"/>
                <a:cs typeface="ＭＳ Ｐゴシック"/>
              </a:rPr>
              <a:t>）</a:t>
            </a:r>
          </a:p>
        </xdr:txBody>
      </xdr:sp>
      <xdr:sp>
        <xdr:nvSpPr>
          <xdr:cNvPr id="57" name="テキスト 83"/>
          <xdr:cNvSpPr txBox="1">
            <a:spLocks noChangeArrowheads="1"/>
          </xdr:cNvSpPr>
        </xdr:nvSpPr>
        <xdr:spPr>
          <a:xfrm>
            <a:off x="112" y="324"/>
            <a:ext cx="86"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b1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t3</a:t>
            </a:r>
            <a:r>
              <a:rPr lang="en-US" cap="none" sz="1100" b="0" i="0" u="none" baseline="0">
                <a:solidFill>
                  <a:srgbClr val="000000"/>
                </a:solidFill>
                <a:latin typeface="ＭＳ Ｐゴシック"/>
                <a:ea typeface="ＭＳ Ｐゴシック"/>
                <a:cs typeface="ＭＳ Ｐゴシック"/>
              </a:rPr>
              <a:t>）</a:t>
            </a:r>
          </a:p>
        </xdr:txBody>
      </xdr:sp>
      <xdr:sp>
        <xdr:nvSpPr>
          <xdr:cNvPr id="58" name="Line 129"/>
          <xdr:cNvSpPr>
            <a:spLocks/>
          </xdr:cNvSpPr>
        </xdr:nvSpPr>
        <xdr:spPr>
          <a:xfrm flipV="1">
            <a:off x="205" y="348"/>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30"/>
          <xdr:cNvSpPr>
            <a:spLocks/>
          </xdr:cNvSpPr>
        </xdr:nvSpPr>
        <xdr:spPr>
          <a:xfrm flipV="1">
            <a:off x="223" y="347"/>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31"/>
          <xdr:cNvSpPr>
            <a:spLocks/>
          </xdr:cNvSpPr>
        </xdr:nvSpPr>
        <xdr:spPr>
          <a:xfrm flipH="1">
            <a:off x="222" y="352"/>
            <a:ext cx="73"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32"/>
          <xdr:cNvSpPr>
            <a:spLocks/>
          </xdr:cNvSpPr>
        </xdr:nvSpPr>
        <xdr:spPr>
          <a:xfrm>
            <a:off x="205" y="35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テキスト 115"/>
          <xdr:cNvSpPr txBox="1">
            <a:spLocks noChangeArrowheads="1"/>
          </xdr:cNvSpPr>
        </xdr:nvSpPr>
        <xdr:spPr>
          <a:xfrm>
            <a:off x="207" y="326"/>
            <a:ext cx="17"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t1</a:t>
            </a:r>
          </a:p>
        </xdr:txBody>
      </xdr:sp>
      <xdr:sp>
        <xdr:nvSpPr>
          <xdr:cNvPr id="63" name="Line 134"/>
          <xdr:cNvSpPr>
            <a:spLocks/>
          </xdr:cNvSpPr>
        </xdr:nvSpPr>
        <xdr:spPr>
          <a:xfrm flipH="1">
            <a:off x="116" y="352"/>
            <a:ext cx="9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35"/>
          <xdr:cNvSpPr>
            <a:spLocks/>
          </xdr:cNvSpPr>
        </xdr:nvSpPr>
        <xdr:spPr>
          <a:xfrm>
            <a:off x="193" y="374"/>
            <a:ext cx="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Text Box 136"/>
          <xdr:cNvSpPr txBox="1">
            <a:spLocks noChangeArrowheads="1"/>
          </xdr:cNvSpPr>
        </xdr:nvSpPr>
        <xdr:spPr>
          <a:xfrm>
            <a:off x="169" y="367"/>
            <a:ext cx="17" cy="18"/>
          </a:xfrm>
          <a:prstGeom prst="rect">
            <a:avLst/>
          </a:prstGeom>
          <a:noFill/>
          <a:ln w="0"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R1</a:t>
            </a:r>
          </a:p>
        </xdr:txBody>
      </xdr:sp>
      <xdr:sp>
        <xdr:nvSpPr>
          <xdr:cNvPr id="66" name="Text Box 137"/>
          <xdr:cNvSpPr txBox="1">
            <a:spLocks noChangeArrowheads="1"/>
          </xdr:cNvSpPr>
        </xdr:nvSpPr>
        <xdr:spPr>
          <a:xfrm>
            <a:off x="237" y="368"/>
            <a:ext cx="17" cy="18"/>
          </a:xfrm>
          <a:prstGeom prst="rect">
            <a:avLst/>
          </a:prstGeom>
          <a:noFill/>
          <a:ln w="0"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R1</a:t>
            </a:r>
          </a:p>
        </xdr:txBody>
      </xdr:sp>
      <xdr:sp>
        <xdr:nvSpPr>
          <xdr:cNvPr id="67" name="Line 138"/>
          <xdr:cNvSpPr>
            <a:spLocks/>
          </xdr:cNvSpPr>
        </xdr:nvSpPr>
        <xdr:spPr>
          <a:xfrm>
            <a:off x="223" y="374"/>
            <a:ext cx="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39"/>
          <xdr:cNvSpPr>
            <a:spLocks/>
          </xdr:cNvSpPr>
        </xdr:nvSpPr>
        <xdr:spPr>
          <a:xfrm>
            <a:off x="227" y="367"/>
            <a:ext cx="1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15</xdr:col>
      <xdr:colOff>0</xdr:colOff>
      <xdr:row>23</xdr:row>
      <xdr:rowOff>28575</xdr:rowOff>
    </xdr:to>
    <xdr:grpSp>
      <xdr:nvGrpSpPr>
        <xdr:cNvPr id="1" name="Group 217"/>
        <xdr:cNvGrpSpPr>
          <a:grpSpLocks/>
        </xdr:cNvGrpSpPr>
      </xdr:nvGrpSpPr>
      <xdr:grpSpPr>
        <a:xfrm>
          <a:off x="676275" y="1143000"/>
          <a:ext cx="4352925" cy="3457575"/>
          <a:chOff x="71" y="120"/>
          <a:chExt cx="457" cy="363"/>
        </a:xfrm>
        <a:solidFill>
          <a:srgbClr val="FFFFFF"/>
        </a:solidFill>
      </xdr:grpSpPr>
      <xdr:grpSp>
        <xdr:nvGrpSpPr>
          <xdr:cNvPr id="2" name="Group 214"/>
          <xdr:cNvGrpSpPr>
            <a:grpSpLocks/>
          </xdr:cNvGrpSpPr>
        </xdr:nvGrpSpPr>
        <xdr:grpSpPr>
          <a:xfrm>
            <a:off x="308" y="120"/>
            <a:ext cx="220" cy="138"/>
            <a:chOff x="256" y="114"/>
            <a:chExt cx="220" cy="138"/>
          </a:xfrm>
          <a:solidFill>
            <a:srgbClr val="FFFFFF"/>
          </a:solidFill>
        </xdr:grpSpPr>
        <xdr:sp>
          <xdr:nvSpPr>
            <xdr:cNvPr id="3" name="Rectangle 99"/>
            <xdr:cNvSpPr>
              <a:spLocks/>
            </xdr:cNvSpPr>
          </xdr:nvSpPr>
          <xdr:spPr>
            <a:xfrm>
              <a:off x="279" y="156"/>
              <a:ext cx="28" cy="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00"/>
            <xdr:cNvSpPr>
              <a:spLocks/>
            </xdr:cNvSpPr>
          </xdr:nvSpPr>
          <xdr:spPr>
            <a:xfrm>
              <a:off x="337" y="156"/>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01"/>
            <xdr:cNvSpPr>
              <a:spLocks/>
            </xdr:cNvSpPr>
          </xdr:nvSpPr>
          <xdr:spPr>
            <a:xfrm>
              <a:off x="336" y="243"/>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2"/>
            <xdr:cNvSpPr>
              <a:spLocks/>
            </xdr:cNvSpPr>
          </xdr:nvSpPr>
          <xdr:spPr>
            <a:xfrm flipV="1">
              <a:off x="375" y="138"/>
              <a:ext cx="0" cy="10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03"/>
            <xdr:cNvSpPr>
              <a:spLocks/>
            </xdr:cNvSpPr>
          </xdr:nvSpPr>
          <xdr:spPr>
            <a:xfrm>
              <a:off x="346" y="139"/>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4"/>
            <xdr:cNvSpPr>
              <a:spLocks/>
            </xdr:cNvSpPr>
          </xdr:nvSpPr>
          <xdr:spPr>
            <a:xfrm>
              <a:off x="346" y="142"/>
              <a:ext cx="29"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5"/>
            <xdr:cNvSpPr>
              <a:spLocks/>
            </xdr:cNvSpPr>
          </xdr:nvSpPr>
          <xdr:spPr>
            <a:xfrm>
              <a:off x="443" y="156"/>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6"/>
            <xdr:cNvSpPr>
              <a:spLocks/>
            </xdr:cNvSpPr>
          </xdr:nvSpPr>
          <xdr:spPr>
            <a:xfrm>
              <a:off x="442" y="244"/>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7"/>
            <xdr:cNvSpPr>
              <a:spLocks/>
            </xdr:cNvSpPr>
          </xdr:nvSpPr>
          <xdr:spPr>
            <a:xfrm>
              <a:off x="469" y="156"/>
              <a:ext cx="0" cy="88"/>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08"/>
            <xdr:cNvSpPr>
              <a:spLocks/>
            </xdr:cNvSpPr>
          </xdr:nvSpPr>
          <xdr:spPr>
            <a:xfrm>
              <a:off x="278" y="170"/>
              <a:ext cx="29"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9"/>
            <xdr:cNvSpPr>
              <a:spLocks/>
            </xdr:cNvSpPr>
          </xdr:nvSpPr>
          <xdr:spPr>
            <a:xfrm>
              <a:off x="279" y="189"/>
              <a:ext cx="28"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10"/>
            <xdr:cNvSpPr>
              <a:spLocks/>
            </xdr:cNvSpPr>
          </xdr:nvSpPr>
          <xdr:spPr>
            <a:xfrm>
              <a:off x="279" y="209"/>
              <a:ext cx="28"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11"/>
            <xdr:cNvSpPr>
              <a:spLocks/>
            </xdr:cNvSpPr>
          </xdr:nvSpPr>
          <xdr:spPr>
            <a:xfrm>
              <a:off x="279" y="227"/>
              <a:ext cx="28"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12"/>
            <xdr:cNvSpPr>
              <a:spLocks/>
            </xdr:cNvSpPr>
          </xdr:nvSpPr>
          <xdr:spPr>
            <a:xfrm>
              <a:off x="307" y="156"/>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13"/>
            <xdr:cNvSpPr>
              <a:spLocks/>
            </xdr:cNvSpPr>
          </xdr:nvSpPr>
          <xdr:spPr>
            <a:xfrm>
              <a:off x="307" y="243"/>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14"/>
            <xdr:cNvSpPr>
              <a:spLocks/>
            </xdr:cNvSpPr>
          </xdr:nvSpPr>
          <xdr:spPr>
            <a:xfrm flipH="1">
              <a:off x="297" y="144"/>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15"/>
            <xdr:cNvSpPr>
              <a:spLocks/>
            </xdr:cNvSpPr>
          </xdr:nvSpPr>
          <xdr:spPr>
            <a:xfrm flipH="1">
              <a:off x="305" y="144"/>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16"/>
            <xdr:cNvSpPr>
              <a:spLocks/>
            </xdr:cNvSpPr>
          </xdr:nvSpPr>
          <xdr:spPr>
            <a:xfrm flipH="1">
              <a:off x="313" y="144"/>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17"/>
            <xdr:cNvSpPr>
              <a:spLocks/>
            </xdr:cNvSpPr>
          </xdr:nvSpPr>
          <xdr:spPr>
            <a:xfrm>
              <a:off x="315" y="244"/>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18"/>
            <xdr:cNvSpPr>
              <a:spLocks/>
            </xdr:cNvSpPr>
          </xdr:nvSpPr>
          <xdr:spPr>
            <a:xfrm>
              <a:off x="305" y="244"/>
              <a:ext cx="8"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9"/>
            <xdr:cNvSpPr>
              <a:spLocks/>
            </xdr:cNvSpPr>
          </xdr:nvSpPr>
          <xdr:spPr>
            <a:xfrm>
              <a:off x="297" y="244"/>
              <a:ext cx="8"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0"/>
            <xdr:cNvSpPr>
              <a:spLocks/>
            </xdr:cNvSpPr>
          </xdr:nvSpPr>
          <xdr:spPr>
            <a:xfrm>
              <a:off x="289" y="244"/>
              <a:ext cx="8"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rc 121"/>
            <xdr:cNvSpPr>
              <a:spLocks/>
            </xdr:cNvSpPr>
          </xdr:nvSpPr>
          <xdr:spPr>
            <a:xfrm>
              <a:off x="346" y="156"/>
              <a:ext cx="53" cy="4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rc 122"/>
            <xdr:cNvSpPr>
              <a:spLocks/>
            </xdr:cNvSpPr>
          </xdr:nvSpPr>
          <xdr:spPr>
            <a:xfrm flipV="1">
              <a:off x="346" y="197"/>
              <a:ext cx="53" cy="45"/>
            </a:xfrm>
            <a:custGeom>
              <a:pathLst>
                <a:path fill="none" h="23168" w="21600">
                  <a:moveTo>
                    <a:pt x="-1" y="0"/>
                  </a:moveTo>
                  <a:cubicBezTo>
                    <a:pt x="11929" y="0"/>
                    <a:pt x="21600" y="9670"/>
                    <a:pt x="21600" y="21600"/>
                  </a:cubicBezTo>
                  <a:cubicBezTo>
                    <a:pt x="21600" y="22123"/>
                    <a:pt x="21580" y="22646"/>
                    <a:pt x="21543" y="23168"/>
                  </a:cubicBezTo>
                </a:path>
                <a:path stroke="0" h="23168" w="21600">
                  <a:moveTo>
                    <a:pt x="-1" y="0"/>
                  </a:moveTo>
                  <a:cubicBezTo>
                    <a:pt x="11929" y="0"/>
                    <a:pt x="21600" y="9670"/>
                    <a:pt x="21600" y="21600"/>
                  </a:cubicBezTo>
                  <a:cubicBezTo>
                    <a:pt x="21600" y="22123"/>
                    <a:pt x="21580" y="22646"/>
                    <a:pt x="21543" y="23168"/>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テキスト 220"/>
            <xdr:cNvSpPr txBox="1">
              <a:spLocks noChangeArrowheads="1"/>
            </xdr:cNvSpPr>
          </xdr:nvSpPr>
          <xdr:spPr>
            <a:xfrm>
              <a:off x="307" y="114"/>
              <a:ext cx="129" cy="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Ｍ</a:t>
              </a:r>
              <a:r>
                <a:rPr lang="en-US" cap="none" sz="1100" b="0" i="0" u="none" baseline="0">
                  <a:solidFill>
                    <a:srgbClr val="000000"/>
                  </a:solidFill>
                  <a:latin typeface="ＭＳ Ｐ明朝"/>
                  <a:ea typeface="ＭＳ Ｐ明朝"/>
                  <a:cs typeface="ＭＳ Ｐ明朝"/>
                </a:rPr>
                <a:t>max</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-q</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L</a:t>
              </a:r>
              <a:r>
                <a:rPr lang="en-US" cap="none" sz="1100" b="0" i="0" u="none" baseline="30000">
                  <a:solidFill>
                    <a:srgbClr val="000000"/>
                  </a:solidFill>
                  <a:latin typeface="ＭＳ Ｐ明朝"/>
                  <a:ea typeface="ＭＳ Ｐ明朝"/>
                  <a:cs typeface="ＭＳ Ｐ明朝"/>
                </a:rPr>
                <a:t>２</a:t>
              </a:r>
              <a:r>
                <a:rPr lang="en-US" cap="none" sz="1100" b="0" i="0" u="none" baseline="0">
                  <a:solidFill>
                    <a:srgbClr val="000000"/>
                  </a:solidFill>
                  <a:latin typeface="ＭＳ Ｐ明朝"/>
                  <a:ea typeface="ＭＳ Ｐ明朝"/>
                  <a:cs typeface="ＭＳ Ｐ明朝"/>
                </a:rPr>
                <a:t>/12</a:t>
              </a:r>
            </a:p>
          </xdr:txBody>
        </xdr:sp>
        <xdr:sp>
          <xdr:nvSpPr>
            <xdr:cNvPr id="28" name="テキスト 222"/>
            <xdr:cNvSpPr txBox="1">
              <a:spLocks noChangeArrowheads="1"/>
            </xdr:cNvSpPr>
          </xdr:nvSpPr>
          <xdr:spPr>
            <a:xfrm>
              <a:off x="447" y="191"/>
              <a:ext cx="22" cy="13"/>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L</a:t>
              </a:r>
            </a:p>
          </xdr:txBody>
        </xdr:sp>
        <xdr:sp>
          <xdr:nvSpPr>
            <xdr:cNvPr id="29" name="テキスト 223"/>
            <xdr:cNvSpPr txBox="1">
              <a:spLocks noChangeArrowheads="1"/>
            </xdr:cNvSpPr>
          </xdr:nvSpPr>
          <xdr:spPr>
            <a:xfrm>
              <a:off x="256" y="166"/>
              <a:ext cx="23" cy="77"/>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明朝"/>
                  <a:ea typeface="ＭＳ Ｐ明朝"/>
                  <a:cs typeface="ＭＳ Ｐ明朝"/>
                </a:rPr>
                <a:t>ｑ＝Ｐ</a:t>
              </a:r>
              <a:r>
                <a:rPr lang="en-US" cap="none" sz="1100" b="0" i="0" u="none" baseline="-25000">
                  <a:solidFill>
                    <a:srgbClr val="000000"/>
                  </a:solidFill>
                  <a:latin typeface="ＭＳ Ｐ明朝"/>
                  <a:ea typeface="ＭＳ Ｐ明朝"/>
                  <a:cs typeface="ＭＳ Ｐ明朝"/>
                </a:rPr>
                <a:t>H</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L</a:t>
              </a:r>
            </a:p>
          </xdr:txBody>
        </xdr:sp>
      </xdr:grpSp>
      <xdr:grpSp>
        <xdr:nvGrpSpPr>
          <xdr:cNvPr id="30" name="Group 216"/>
          <xdr:cNvGrpSpPr>
            <a:grpSpLocks/>
          </xdr:cNvGrpSpPr>
        </xdr:nvGrpSpPr>
        <xdr:grpSpPr>
          <a:xfrm>
            <a:off x="71" y="300"/>
            <a:ext cx="212" cy="183"/>
            <a:chOff x="71" y="300"/>
            <a:chExt cx="212" cy="183"/>
          </a:xfrm>
          <a:solidFill>
            <a:srgbClr val="FFFFFF"/>
          </a:solidFill>
        </xdr:grpSpPr>
        <xdr:sp>
          <xdr:nvSpPr>
            <xdr:cNvPr id="31" name="テキスト 206"/>
            <xdr:cNvSpPr txBox="1">
              <a:spLocks noChangeArrowheads="1"/>
            </xdr:cNvSpPr>
          </xdr:nvSpPr>
          <xdr:spPr>
            <a:xfrm>
              <a:off x="169" y="445"/>
              <a:ext cx="35"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15</a:t>
              </a:r>
              <a:r>
                <a:rPr lang="en-US" cap="none" sz="1100" b="0" i="0" u="none" baseline="0">
                  <a:solidFill>
                    <a:srgbClr val="000000"/>
                  </a:solidFill>
                  <a:latin typeface="ＭＳ Ｐ明朝"/>
                  <a:ea typeface="ＭＳ Ｐ明朝"/>
                  <a:cs typeface="ＭＳ Ｐ明朝"/>
                </a:rPr>
                <a:t>°</a:t>
              </a:r>
            </a:p>
          </xdr:txBody>
        </xdr:sp>
        <xdr:sp>
          <xdr:nvSpPr>
            <xdr:cNvPr id="32" name="Rectangle 127"/>
            <xdr:cNvSpPr>
              <a:spLocks/>
            </xdr:cNvSpPr>
          </xdr:nvSpPr>
          <xdr:spPr>
            <a:xfrm rot="16200000">
              <a:off x="226" y="399"/>
              <a:ext cx="23" cy="8"/>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28"/>
            <xdr:cNvSpPr>
              <a:spLocks/>
            </xdr:cNvSpPr>
          </xdr:nvSpPr>
          <xdr:spPr>
            <a:xfrm rot="16200000">
              <a:off x="187" y="304"/>
              <a:ext cx="0" cy="143"/>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9"/>
            <xdr:cNvSpPr>
              <a:spLocks/>
            </xdr:cNvSpPr>
          </xdr:nvSpPr>
          <xdr:spPr>
            <a:xfrm rot="16200000">
              <a:off x="122" y="349"/>
              <a:ext cx="127" cy="1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31"/>
            <xdr:cNvSpPr>
              <a:spLocks/>
            </xdr:cNvSpPr>
          </xdr:nvSpPr>
          <xdr:spPr>
            <a:xfrm rot="16200000">
              <a:off x="112" y="300"/>
              <a:ext cx="10" cy="12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32"/>
            <xdr:cNvSpPr>
              <a:spLocks/>
            </xdr:cNvSpPr>
          </xdr:nvSpPr>
          <xdr:spPr>
            <a:xfrm rot="16200000" flipV="1">
              <a:off x="187" y="399"/>
              <a:ext cx="18" cy="5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37"/>
            <xdr:cNvSpPr>
              <a:spLocks/>
            </xdr:cNvSpPr>
          </xdr:nvSpPr>
          <xdr:spPr>
            <a:xfrm>
              <a:off x="94" y="393"/>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38"/>
            <xdr:cNvSpPr>
              <a:spLocks/>
            </xdr:cNvSpPr>
          </xdr:nvSpPr>
          <xdr:spPr>
            <a:xfrm>
              <a:off x="157" y="42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39"/>
            <xdr:cNvSpPr>
              <a:spLocks/>
            </xdr:cNvSpPr>
          </xdr:nvSpPr>
          <xdr:spPr>
            <a:xfrm flipV="1">
              <a:off x="99" y="393"/>
              <a:ext cx="0" cy="21"/>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42"/>
            <xdr:cNvSpPr>
              <a:spLocks/>
            </xdr:cNvSpPr>
          </xdr:nvSpPr>
          <xdr:spPr>
            <a:xfrm flipV="1">
              <a:off x="283" y="407"/>
              <a:ext cx="0" cy="1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43"/>
            <xdr:cNvSpPr>
              <a:spLocks/>
            </xdr:cNvSpPr>
          </xdr:nvSpPr>
          <xdr:spPr>
            <a:xfrm flipH="1">
              <a:off x="283" y="370"/>
              <a:ext cx="0" cy="29"/>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45"/>
            <xdr:cNvSpPr>
              <a:spLocks/>
            </xdr:cNvSpPr>
          </xdr:nvSpPr>
          <xdr:spPr>
            <a:xfrm flipV="1">
              <a:off x="165" y="444"/>
              <a:ext cx="22" cy="4"/>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50"/>
            <xdr:cNvSpPr>
              <a:spLocks/>
            </xdr:cNvSpPr>
          </xdr:nvSpPr>
          <xdr:spPr>
            <a:xfrm flipV="1">
              <a:off x="187" y="440"/>
              <a:ext cx="14"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51"/>
            <xdr:cNvSpPr>
              <a:spLocks/>
            </xdr:cNvSpPr>
          </xdr:nvSpPr>
          <xdr:spPr>
            <a:xfrm rot="16200000">
              <a:off x="217" y="393"/>
              <a:ext cx="9" cy="2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52"/>
            <xdr:cNvSpPr>
              <a:spLocks/>
            </xdr:cNvSpPr>
          </xdr:nvSpPr>
          <xdr:spPr>
            <a:xfrm flipV="1">
              <a:off x="195" y="393"/>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53"/>
            <xdr:cNvSpPr>
              <a:spLocks/>
            </xdr:cNvSpPr>
          </xdr:nvSpPr>
          <xdr:spPr>
            <a:xfrm rot="16200000" flipH="1" flipV="1">
              <a:off x="195" y="41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54"/>
            <xdr:cNvSpPr>
              <a:spLocks/>
            </xdr:cNvSpPr>
          </xdr:nvSpPr>
          <xdr:spPr>
            <a:xfrm rot="16200000" flipH="1">
              <a:off x="195" y="393"/>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55"/>
            <xdr:cNvSpPr>
              <a:spLocks/>
            </xdr:cNvSpPr>
          </xdr:nvSpPr>
          <xdr:spPr>
            <a:xfrm rot="5400000" flipH="1">
              <a:off x="192" y="405"/>
              <a:ext cx="11" cy="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テキスト 215"/>
            <xdr:cNvSpPr txBox="1">
              <a:spLocks noChangeArrowheads="1"/>
            </xdr:cNvSpPr>
          </xdr:nvSpPr>
          <xdr:spPr>
            <a:xfrm>
              <a:off x="124" y="416"/>
              <a:ext cx="17"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t2</a:t>
              </a:r>
            </a:p>
          </xdr:txBody>
        </xdr:sp>
        <xdr:sp>
          <xdr:nvSpPr>
            <xdr:cNvPr id="50" name="テキスト 216"/>
            <xdr:cNvSpPr txBox="1">
              <a:spLocks noChangeArrowheads="1"/>
            </xdr:cNvSpPr>
          </xdr:nvSpPr>
          <xdr:spPr>
            <a:xfrm>
              <a:off x="71" y="395"/>
              <a:ext cx="22" cy="12"/>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b</a:t>
              </a:r>
            </a:p>
          </xdr:txBody>
        </xdr:sp>
        <xdr:sp>
          <xdr:nvSpPr>
            <xdr:cNvPr id="51" name="テキスト 219"/>
            <xdr:cNvSpPr txBox="1">
              <a:spLocks noChangeArrowheads="1"/>
            </xdr:cNvSpPr>
          </xdr:nvSpPr>
          <xdr:spPr>
            <a:xfrm>
              <a:off x="214" y="445"/>
              <a:ext cx="14"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Ｐ</a:t>
              </a:r>
            </a:p>
          </xdr:txBody>
        </xdr:sp>
        <xdr:sp>
          <xdr:nvSpPr>
            <xdr:cNvPr id="52" name="Rectangle 160"/>
            <xdr:cNvSpPr>
              <a:spLocks/>
            </xdr:cNvSpPr>
          </xdr:nvSpPr>
          <xdr:spPr>
            <a:xfrm rot="16200000">
              <a:off x="217" y="360"/>
              <a:ext cx="9" cy="5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63"/>
            <xdr:cNvSpPr>
              <a:spLocks/>
            </xdr:cNvSpPr>
          </xdr:nvSpPr>
          <xdr:spPr>
            <a:xfrm flipV="1">
              <a:off x="122" y="440"/>
              <a:ext cx="26"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64"/>
            <xdr:cNvSpPr>
              <a:spLocks/>
            </xdr:cNvSpPr>
          </xdr:nvSpPr>
          <xdr:spPr>
            <a:xfrm flipV="1">
              <a:off x="157" y="440"/>
              <a:ext cx="18"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65"/>
            <xdr:cNvSpPr>
              <a:spLocks/>
            </xdr:cNvSpPr>
          </xdr:nvSpPr>
          <xdr:spPr>
            <a:xfrm>
              <a:off x="148" y="44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テキスト 216"/>
            <xdr:cNvSpPr txBox="1">
              <a:spLocks noChangeArrowheads="1"/>
            </xdr:cNvSpPr>
          </xdr:nvSpPr>
          <xdr:spPr>
            <a:xfrm>
              <a:off x="261" y="370"/>
              <a:ext cx="22" cy="17"/>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t4</a:t>
              </a:r>
            </a:p>
          </xdr:txBody>
        </xdr:sp>
        <xdr:sp>
          <xdr:nvSpPr>
            <xdr:cNvPr id="57" name="Line 171"/>
            <xdr:cNvSpPr>
              <a:spLocks/>
            </xdr:cNvSpPr>
          </xdr:nvSpPr>
          <xdr:spPr>
            <a:xfrm flipH="1">
              <a:off x="283" y="400"/>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Rectangle 189"/>
            <xdr:cNvSpPr>
              <a:spLocks/>
            </xdr:cNvSpPr>
          </xdr:nvSpPr>
          <xdr:spPr>
            <a:xfrm rot="16200000">
              <a:off x="148" y="360"/>
              <a:ext cx="9" cy="5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90"/>
            <xdr:cNvSpPr>
              <a:spLocks/>
            </xdr:cNvSpPr>
          </xdr:nvSpPr>
          <xdr:spPr>
            <a:xfrm flipH="1" flipV="1">
              <a:off x="157" y="393"/>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91"/>
            <xdr:cNvSpPr>
              <a:spLocks/>
            </xdr:cNvSpPr>
          </xdr:nvSpPr>
          <xdr:spPr>
            <a:xfrm rot="5400000" flipV="1">
              <a:off x="168" y="403"/>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92"/>
            <xdr:cNvSpPr>
              <a:spLocks/>
            </xdr:cNvSpPr>
          </xdr:nvSpPr>
          <xdr:spPr>
            <a:xfrm rot="5400000">
              <a:off x="169" y="403"/>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94"/>
            <xdr:cNvSpPr>
              <a:spLocks/>
            </xdr:cNvSpPr>
          </xdr:nvSpPr>
          <xdr:spPr>
            <a:xfrm rot="16200000" flipV="1">
              <a:off x="205" y="455"/>
              <a:ext cx="9" cy="28"/>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95"/>
            <xdr:cNvSpPr>
              <a:spLocks/>
            </xdr:cNvSpPr>
          </xdr:nvSpPr>
          <xdr:spPr>
            <a:xfrm flipV="1">
              <a:off x="201" y="433"/>
              <a:ext cx="22" cy="7"/>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96"/>
            <xdr:cNvSpPr>
              <a:spLocks/>
            </xdr:cNvSpPr>
          </xdr:nvSpPr>
          <xdr:spPr>
            <a:xfrm>
              <a:off x="148" y="42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97"/>
            <xdr:cNvSpPr>
              <a:spLocks/>
            </xdr:cNvSpPr>
          </xdr:nvSpPr>
          <xdr:spPr>
            <a:xfrm>
              <a:off x="226" y="42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テキスト 215"/>
            <xdr:cNvSpPr txBox="1">
              <a:spLocks noChangeArrowheads="1"/>
            </xdr:cNvSpPr>
          </xdr:nvSpPr>
          <xdr:spPr>
            <a:xfrm>
              <a:off x="229" y="418"/>
              <a:ext cx="21"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L4</a:t>
              </a:r>
            </a:p>
          </xdr:txBody>
        </xdr:sp>
        <xdr:sp>
          <xdr:nvSpPr>
            <xdr:cNvPr id="67" name="Line 199"/>
            <xdr:cNvSpPr>
              <a:spLocks/>
            </xdr:cNvSpPr>
          </xdr:nvSpPr>
          <xdr:spPr>
            <a:xfrm flipV="1">
              <a:off x="226" y="440"/>
              <a:ext cx="23"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202"/>
            <xdr:cNvSpPr>
              <a:spLocks/>
            </xdr:cNvSpPr>
          </xdr:nvSpPr>
          <xdr:spPr>
            <a:xfrm>
              <a:off x="249" y="42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203"/>
            <xdr:cNvSpPr>
              <a:spLocks/>
            </xdr:cNvSpPr>
          </xdr:nvSpPr>
          <xdr:spPr>
            <a:xfrm>
              <a:off x="94" y="414"/>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204"/>
            <xdr:cNvSpPr>
              <a:spLocks/>
            </xdr:cNvSpPr>
          </xdr:nvSpPr>
          <xdr:spPr>
            <a:xfrm>
              <a:off x="255" y="399"/>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205"/>
            <xdr:cNvSpPr>
              <a:spLocks/>
            </xdr:cNvSpPr>
          </xdr:nvSpPr>
          <xdr:spPr>
            <a:xfrm>
              <a:off x="255" y="40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2" name="Group 212"/>
          <xdr:cNvGrpSpPr>
            <a:grpSpLocks/>
          </xdr:cNvGrpSpPr>
        </xdr:nvGrpSpPr>
        <xdr:grpSpPr>
          <a:xfrm>
            <a:off x="112" y="132"/>
            <a:ext cx="137" cy="147"/>
            <a:chOff x="60" y="126"/>
            <a:chExt cx="137" cy="147"/>
          </a:xfrm>
          <a:solidFill>
            <a:srgbClr val="FFFFFF"/>
          </a:solidFill>
        </xdr:grpSpPr>
        <xdr:sp>
          <xdr:nvSpPr>
            <xdr:cNvPr id="73" name="Rectangle 82"/>
            <xdr:cNvSpPr>
              <a:spLocks/>
            </xdr:cNvSpPr>
          </xdr:nvSpPr>
          <xdr:spPr>
            <a:xfrm>
              <a:off x="166" y="156"/>
              <a:ext cx="9" cy="8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Rectangle 83"/>
            <xdr:cNvSpPr>
              <a:spLocks/>
            </xdr:cNvSpPr>
          </xdr:nvSpPr>
          <xdr:spPr>
            <a:xfrm>
              <a:off x="175" y="156"/>
              <a:ext cx="22" cy="8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Rectangle 84"/>
            <xdr:cNvSpPr>
              <a:spLocks/>
            </xdr:cNvSpPr>
          </xdr:nvSpPr>
          <xdr:spPr>
            <a:xfrm>
              <a:off x="60" y="126"/>
              <a:ext cx="10" cy="1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Rectangle 86"/>
            <xdr:cNvSpPr>
              <a:spLocks/>
            </xdr:cNvSpPr>
          </xdr:nvSpPr>
          <xdr:spPr>
            <a:xfrm>
              <a:off x="70" y="243"/>
              <a:ext cx="127"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91"/>
            <xdr:cNvSpPr>
              <a:spLocks/>
            </xdr:cNvSpPr>
          </xdr:nvSpPr>
          <xdr:spPr>
            <a:xfrm>
              <a:off x="70" y="126"/>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92"/>
            <xdr:cNvSpPr>
              <a:spLocks/>
            </xdr:cNvSpPr>
          </xdr:nvSpPr>
          <xdr:spPr>
            <a:xfrm>
              <a:off x="70" y="273"/>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93"/>
            <xdr:cNvSpPr>
              <a:spLocks/>
            </xdr:cNvSpPr>
          </xdr:nvSpPr>
          <xdr:spPr>
            <a:xfrm>
              <a:off x="140" y="126"/>
              <a:ext cx="57"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94"/>
            <xdr:cNvSpPr>
              <a:spLocks/>
            </xdr:cNvSpPr>
          </xdr:nvSpPr>
          <xdr:spPr>
            <a:xfrm flipV="1">
              <a:off x="140" y="252"/>
              <a:ext cx="57"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95"/>
            <xdr:cNvSpPr>
              <a:spLocks/>
            </xdr:cNvSpPr>
          </xdr:nvSpPr>
          <xdr:spPr>
            <a:xfrm>
              <a:off x="124" y="189"/>
              <a:ext cx="22"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96"/>
            <xdr:cNvSpPr>
              <a:spLocks/>
            </xdr:cNvSpPr>
          </xdr:nvSpPr>
          <xdr:spPr>
            <a:xfrm>
              <a:off x="136" y="200"/>
              <a:ext cx="25" cy="0"/>
            </a:xfrm>
            <a:prstGeom prst="line">
              <a:avLst/>
            </a:prstGeom>
            <a:noFill/>
            <a:ln w="2476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テキスト 221"/>
            <xdr:cNvSpPr txBox="1">
              <a:spLocks noChangeArrowheads="1"/>
            </xdr:cNvSpPr>
          </xdr:nvSpPr>
          <xdr:spPr>
            <a:xfrm>
              <a:off x="140" y="164"/>
              <a:ext cx="23" cy="26"/>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Ｐ</a:t>
              </a:r>
              <a:r>
                <a:rPr lang="en-US" cap="none" sz="1100" b="0" i="0" u="none" baseline="-25000">
                  <a:solidFill>
                    <a:srgbClr val="000000"/>
                  </a:solidFill>
                  <a:latin typeface="ＭＳ Ｐ明朝"/>
                  <a:ea typeface="ＭＳ Ｐ明朝"/>
                  <a:cs typeface="ＭＳ Ｐ明朝"/>
                </a:rPr>
                <a:t>Ｈ</a:t>
              </a:r>
            </a:p>
          </xdr:txBody>
        </xdr:sp>
        <xdr:sp>
          <xdr:nvSpPr>
            <xdr:cNvPr id="84" name="Rectangle 208"/>
            <xdr:cNvSpPr>
              <a:spLocks/>
            </xdr:cNvSpPr>
          </xdr:nvSpPr>
          <xdr:spPr>
            <a:xfrm>
              <a:off x="70" y="147"/>
              <a:ext cx="127"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Rectangle 209"/>
            <xdr:cNvSpPr>
              <a:spLocks/>
            </xdr:cNvSpPr>
          </xdr:nvSpPr>
          <xdr:spPr>
            <a:xfrm>
              <a:off x="96" y="156"/>
              <a:ext cx="9" cy="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95250</xdr:rowOff>
    </xdr:from>
    <xdr:to>
      <xdr:col>17</xdr:col>
      <xdr:colOff>142875</xdr:colOff>
      <xdr:row>13</xdr:row>
      <xdr:rowOff>114300</xdr:rowOff>
    </xdr:to>
    <xdr:grpSp>
      <xdr:nvGrpSpPr>
        <xdr:cNvPr id="1" name="Group 177"/>
        <xdr:cNvGrpSpPr>
          <a:grpSpLocks/>
        </xdr:cNvGrpSpPr>
      </xdr:nvGrpSpPr>
      <xdr:grpSpPr>
        <a:xfrm>
          <a:off x="342900" y="895350"/>
          <a:ext cx="5495925" cy="2019300"/>
          <a:chOff x="32" y="106"/>
          <a:chExt cx="577" cy="212"/>
        </a:xfrm>
        <a:solidFill>
          <a:srgbClr val="FFFFFF"/>
        </a:solidFill>
      </xdr:grpSpPr>
      <xdr:sp>
        <xdr:nvSpPr>
          <xdr:cNvPr id="2" name="Rectangle 178"/>
          <xdr:cNvSpPr>
            <a:spLocks/>
          </xdr:cNvSpPr>
        </xdr:nvSpPr>
        <xdr:spPr>
          <a:xfrm>
            <a:off x="291" y="175"/>
            <a:ext cx="71"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179"/>
          <xdr:cNvSpPr>
            <a:spLocks/>
          </xdr:cNvSpPr>
        </xdr:nvSpPr>
        <xdr:spPr>
          <a:xfrm>
            <a:off x="291" y="247"/>
            <a:ext cx="71"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180"/>
          <xdr:cNvSpPr>
            <a:spLocks/>
          </xdr:cNvSpPr>
        </xdr:nvSpPr>
        <xdr:spPr>
          <a:xfrm>
            <a:off x="284" y="156"/>
            <a:ext cx="7" cy="12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81"/>
          <xdr:cNvSpPr>
            <a:spLocks/>
          </xdr:cNvSpPr>
        </xdr:nvSpPr>
        <xdr:spPr>
          <a:xfrm>
            <a:off x="302" y="184"/>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82"/>
          <xdr:cNvSpPr>
            <a:spLocks/>
          </xdr:cNvSpPr>
        </xdr:nvSpPr>
        <xdr:spPr>
          <a:xfrm>
            <a:off x="309" y="184"/>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83"/>
          <xdr:cNvSpPr>
            <a:spLocks/>
          </xdr:cNvSpPr>
        </xdr:nvSpPr>
        <xdr:spPr>
          <a:xfrm>
            <a:off x="351" y="184"/>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84"/>
          <xdr:cNvSpPr>
            <a:spLocks/>
          </xdr:cNvSpPr>
        </xdr:nvSpPr>
        <xdr:spPr>
          <a:xfrm>
            <a:off x="344" y="184"/>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85"/>
          <xdr:cNvSpPr>
            <a:spLocks/>
          </xdr:cNvSpPr>
        </xdr:nvSpPr>
        <xdr:spPr>
          <a:xfrm>
            <a:off x="291" y="156"/>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86"/>
          <xdr:cNvSpPr>
            <a:spLocks/>
          </xdr:cNvSpPr>
        </xdr:nvSpPr>
        <xdr:spPr>
          <a:xfrm>
            <a:off x="291" y="278"/>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87"/>
          <xdr:cNvSpPr>
            <a:spLocks/>
          </xdr:cNvSpPr>
        </xdr:nvSpPr>
        <xdr:spPr>
          <a:xfrm flipH="1">
            <a:off x="362" y="172"/>
            <a:ext cx="0" cy="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88"/>
          <xdr:cNvSpPr>
            <a:spLocks/>
          </xdr:cNvSpPr>
        </xdr:nvSpPr>
        <xdr:spPr>
          <a:xfrm>
            <a:off x="309" y="156"/>
            <a:ext cx="5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89"/>
          <xdr:cNvSpPr>
            <a:spLocks/>
          </xdr:cNvSpPr>
        </xdr:nvSpPr>
        <xdr:spPr>
          <a:xfrm flipV="1">
            <a:off x="311" y="263"/>
            <a:ext cx="5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90"/>
          <xdr:cNvSpPr>
            <a:spLocks/>
          </xdr:cNvSpPr>
        </xdr:nvSpPr>
        <xdr:spPr>
          <a:xfrm>
            <a:off x="318" y="205"/>
            <a:ext cx="18" cy="1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91"/>
          <xdr:cNvSpPr>
            <a:spLocks/>
          </xdr:cNvSpPr>
        </xdr:nvSpPr>
        <xdr:spPr>
          <a:xfrm flipV="1">
            <a:off x="284" y="120"/>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92"/>
          <xdr:cNvSpPr>
            <a:spLocks/>
          </xdr:cNvSpPr>
        </xdr:nvSpPr>
        <xdr:spPr>
          <a:xfrm flipH="1" flipV="1">
            <a:off x="327" y="120"/>
            <a:ext cx="0" cy="8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93"/>
          <xdr:cNvSpPr>
            <a:spLocks/>
          </xdr:cNvSpPr>
        </xdr:nvSpPr>
        <xdr:spPr>
          <a:xfrm flipV="1">
            <a:off x="284" y="126"/>
            <a:ext cx="43"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143"/>
          <xdr:cNvSpPr txBox="1">
            <a:spLocks noChangeArrowheads="1"/>
          </xdr:cNvSpPr>
        </xdr:nvSpPr>
        <xdr:spPr>
          <a:xfrm>
            <a:off x="297" y="106"/>
            <a:ext cx="17"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Ｈ</a:t>
            </a:r>
          </a:p>
        </xdr:txBody>
      </xdr:sp>
      <xdr:sp>
        <xdr:nvSpPr>
          <xdr:cNvPr id="19" name="Line 195"/>
          <xdr:cNvSpPr>
            <a:spLocks/>
          </xdr:cNvSpPr>
        </xdr:nvSpPr>
        <xdr:spPr>
          <a:xfrm flipH="1">
            <a:off x="367" y="184"/>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96"/>
          <xdr:cNvSpPr>
            <a:spLocks/>
          </xdr:cNvSpPr>
        </xdr:nvSpPr>
        <xdr:spPr>
          <a:xfrm flipH="1">
            <a:off x="367" y="246"/>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97"/>
          <xdr:cNvSpPr>
            <a:spLocks/>
          </xdr:cNvSpPr>
        </xdr:nvSpPr>
        <xdr:spPr>
          <a:xfrm>
            <a:off x="392" y="184"/>
            <a:ext cx="0" cy="62"/>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テキスト 144"/>
          <xdr:cNvSpPr txBox="1">
            <a:spLocks noChangeArrowheads="1"/>
          </xdr:cNvSpPr>
        </xdr:nvSpPr>
        <xdr:spPr>
          <a:xfrm>
            <a:off x="370" y="207"/>
            <a:ext cx="22" cy="13"/>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L</a:t>
            </a:r>
          </a:p>
        </xdr:txBody>
      </xdr:sp>
      <xdr:sp>
        <xdr:nvSpPr>
          <xdr:cNvPr id="23" name="Rectangle 199"/>
          <xdr:cNvSpPr>
            <a:spLocks/>
          </xdr:cNvSpPr>
        </xdr:nvSpPr>
        <xdr:spPr>
          <a:xfrm>
            <a:off x="523" y="248"/>
            <a:ext cx="9" cy="29"/>
          </a:xfrm>
          <a:prstGeom prst="rect">
            <a:avLst/>
          </a:prstGeom>
          <a:solidFill>
            <a:srgbClr val="ABEBD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00"/>
          <xdr:cNvSpPr>
            <a:spLocks/>
          </xdr:cNvSpPr>
        </xdr:nvSpPr>
        <xdr:spPr>
          <a:xfrm>
            <a:off x="523" y="154"/>
            <a:ext cx="9" cy="29"/>
          </a:xfrm>
          <a:prstGeom prst="rect">
            <a:avLst/>
          </a:prstGeom>
          <a:solidFill>
            <a:srgbClr val="ABEBD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テキスト 146"/>
          <xdr:cNvSpPr txBox="1">
            <a:spLocks noChangeArrowheads="1"/>
          </xdr:cNvSpPr>
        </xdr:nvSpPr>
        <xdr:spPr>
          <a:xfrm>
            <a:off x="522" y="296"/>
            <a:ext cx="12"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b</a:t>
            </a:r>
          </a:p>
        </xdr:txBody>
      </xdr:sp>
      <xdr:sp>
        <xdr:nvSpPr>
          <xdr:cNvPr id="26" name="テキスト 145"/>
          <xdr:cNvSpPr txBox="1">
            <a:spLocks noChangeArrowheads="1"/>
          </xdr:cNvSpPr>
        </xdr:nvSpPr>
        <xdr:spPr>
          <a:xfrm>
            <a:off x="477" y="244"/>
            <a:ext cx="22" cy="17"/>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t3</a:t>
            </a:r>
          </a:p>
        </xdr:txBody>
      </xdr:sp>
      <xdr:sp>
        <xdr:nvSpPr>
          <xdr:cNvPr id="27" name="テキスト 144"/>
          <xdr:cNvSpPr txBox="1">
            <a:spLocks noChangeArrowheads="1"/>
          </xdr:cNvSpPr>
        </xdr:nvSpPr>
        <xdr:spPr>
          <a:xfrm>
            <a:off x="427" y="169"/>
            <a:ext cx="22" cy="21"/>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latin typeface="ＭＳ Ｐ明朝"/>
                <a:ea typeface="ＭＳ Ｐ明朝"/>
                <a:cs typeface="ＭＳ Ｐ明朝"/>
              </a:rPr>
              <a:t>Ｙ</a:t>
            </a:r>
            <a:r>
              <a:rPr lang="en-US" cap="none" sz="1100" b="0" i="0" u="none" baseline="0">
                <a:solidFill>
                  <a:srgbClr val="000000"/>
                </a:solidFill>
                <a:latin typeface="ＭＳ Ｐ明朝"/>
                <a:ea typeface="ＭＳ Ｐ明朝"/>
                <a:cs typeface="ＭＳ Ｐ明朝"/>
              </a:rPr>
              <a:t>t</a:t>
            </a:r>
          </a:p>
        </xdr:txBody>
      </xdr:sp>
      <xdr:sp>
        <xdr:nvSpPr>
          <xdr:cNvPr id="28" name="Rectangle 204"/>
          <xdr:cNvSpPr>
            <a:spLocks/>
          </xdr:cNvSpPr>
        </xdr:nvSpPr>
        <xdr:spPr>
          <a:xfrm>
            <a:off x="580" y="152"/>
            <a:ext cx="10" cy="1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05"/>
          <xdr:cNvSpPr>
            <a:spLocks/>
          </xdr:cNvSpPr>
        </xdr:nvSpPr>
        <xdr:spPr>
          <a:xfrm>
            <a:off x="424" y="216"/>
            <a:ext cx="18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06"/>
          <xdr:cNvSpPr>
            <a:spLocks/>
          </xdr:cNvSpPr>
        </xdr:nvSpPr>
        <xdr:spPr>
          <a:xfrm>
            <a:off x="515" y="175"/>
            <a:ext cx="65"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07"/>
          <xdr:cNvSpPr>
            <a:spLocks/>
          </xdr:cNvSpPr>
        </xdr:nvSpPr>
        <xdr:spPr>
          <a:xfrm>
            <a:off x="515" y="247"/>
            <a:ext cx="65" cy="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208"/>
          <xdr:cNvSpPr>
            <a:spLocks/>
          </xdr:cNvSpPr>
        </xdr:nvSpPr>
        <xdr:spPr>
          <a:xfrm flipH="1" flipV="1">
            <a:off x="515" y="225"/>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09"/>
          <xdr:cNvSpPr>
            <a:spLocks/>
          </xdr:cNvSpPr>
        </xdr:nvSpPr>
        <xdr:spPr>
          <a:xfrm flipH="1" flipV="1">
            <a:off x="541" y="225"/>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210"/>
          <xdr:cNvSpPr>
            <a:spLocks/>
          </xdr:cNvSpPr>
        </xdr:nvSpPr>
        <xdr:spPr>
          <a:xfrm flipH="1" flipV="1">
            <a:off x="515" y="225"/>
            <a:ext cx="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211"/>
          <xdr:cNvSpPr>
            <a:spLocks/>
          </xdr:cNvSpPr>
        </xdr:nvSpPr>
        <xdr:spPr>
          <a:xfrm>
            <a:off x="541" y="184"/>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212"/>
          <xdr:cNvSpPr>
            <a:spLocks/>
          </xdr:cNvSpPr>
        </xdr:nvSpPr>
        <xdr:spPr>
          <a:xfrm flipH="1">
            <a:off x="515" y="205"/>
            <a:ext cx="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13"/>
          <xdr:cNvSpPr>
            <a:spLocks/>
          </xdr:cNvSpPr>
        </xdr:nvSpPr>
        <xdr:spPr>
          <a:xfrm>
            <a:off x="515" y="184"/>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214"/>
          <xdr:cNvSpPr>
            <a:spLocks/>
          </xdr:cNvSpPr>
        </xdr:nvSpPr>
        <xdr:spPr>
          <a:xfrm>
            <a:off x="530" y="180"/>
            <a:ext cx="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215"/>
          <xdr:cNvSpPr>
            <a:spLocks/>
          </xdr:cNvSpPr>
        </xdr:nvSpPr>
        <xdr:spPr>
          <a:xfrm flipH="1">
            <a:off x="476" y="166"/>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16"/>
          <xdr:cNvSpPr>
            <a:spLocks/>
          </xdr:cNvSpPr>
        </xdr:nvSpPr>
        <xdr:spPr>
          <a:xfrm>
            <a:off x="515" y="263"/>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217"/>
          <xdr:cNvSpPr>
            <a:spLocks/>
          </xdr:cNvSpPr>
        </xdr:nvSpPr>
        <xdr:spPr>
          <a:xfrm>
            <a:off x="541" y="263"/>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218"/>
          <xdr:cNvSpPr>
            <a:spLocks/>
          </xdr:cNvSpPr>
        </xdr:nvSpPr>
        <xdr:spPr>
          <a:xfrm flipV="1">
            <a:off x="515" y="294"/>
            <a:ext cx="26"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19"/>
          <xdr:cNvSpPr>
            <a:spLocks/>
          </xdr:cNvSpPr>
        </xdr:nvSpPr>
        <xdr:spPr>
          <a:xfrm>
            <a:off x="515" y="175"/>
            <a:ext cx="26" cy="9"/>
          </a:xfrm>
          <a:prstGeom prst="rect">
            <a:avLst/>
          </a:prstGeom>
          <a:solidFill>
            <a:srgbClr val="ABEBD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220"/>
          <xdr:cNvSpPr>
            <a:spLocks/>
          </xdr:cNvSpPr>
        </xdr:nvSpPr>
        <xdr:spPr>
          <a:xfrm>
            <a:off x="515" y="247"/>
            <a:ext cx="26" cy="10"/>
          </a:xfrm>
          <a:prstGeom prst="rect">
            <a:avLst/>
          </a:prstGeom>
          <a:solidFill>
            <a:srgbClr val="ABEBD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221"/>
          <xdr:cNvSpPr>
            <a:spLocks/>
          </xdr:cNvSpPr>
        </xdr:nvSpPr>
        <xdr:spPr>
          <a:xfrm>
            <a:off x="447" y="154"/>
            <a:ext cx="0" cy="62"/>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222"/>
          <xdr:cNvSpPr>
            <a:spLocks/>
          </xdr:cNvSpPr>
        </xdr:nvSpPr>
        <xdr:spPr>
          <a:xfrm>
            <a:off x="523" y="137"/>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223"/>
          <xdr:cNvSpPr>
            <a:spLocks/>
          </xdr:cNvSpPr>
        </xdr:nvSpPr>
        <xdr:spPr>
          <a:xfrm>
            <a:off x="532" y="137"/>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224"/>
          <xdr:cNvSpPr>
            <a:spLocks/>
          </xdr:cNvSpPr>
        </xdr:nvSpPr>
        <xdr:spPr>
          <a:xfrm>
            <a:off x="510" y="142"/>
            <a:ext cx="12"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225"/>
          <xdr:cNvSpPr>
            <a:spLocks/>
          </xdr:cNvSpPr>
        </xdr:nvSpPr>
        <xdr:spPr>
          <a:xfrm>
            <a:off x="532" y="142"/>
            <a:ext cx="12"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テキスト 143"/>
          <xdr:cNvSpPr txBox="1">
            <a:spLocks noChangeArrowheads="1"/>
          </xdr:cNvSpPr>
        </xdr:nvSpPr>
        <xdr:spPr>
          <a:xfrm>
            <a:off x="520" y="115"/>
            <a:ext cx="17"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t5</a:t>
            </a:r>
          </a:p>
        </xdr:txBody>
      </xdr:sp>
      <xdr:sp>
        <xdr:nvSpPr>
          <xdr:cNvPr id="51" name="Line 227"/>
          <xdr:cNvSpPr>
            <a:spLocks/>
          </xdr:cNvSpPr>
        </xdr:nvSpPr>
        <xdr:spPr>
          <a:xfrm>
            <a:off x="523" y="142"/>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228"/>
          <xdr:cNvSpPr>
            <a:spLocks/>
          </xdr:cNvSpPr>
        </xdr:nvSpPr>
        <xdr:spPr>
          <a:xfrm flipV="1">
            <a:off x="480" y="154"/>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229"/>
          <xdr:cNvSpPr>
            <a:spLocks/>
          </xdr:cNvSpPr>
        </xdr:nvSpPr>
        <xdr:spPr>
          <a:xfrm flipH="1">
            <a:off x="440" y="15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テキスト 145"/>
          <xdr:cNvSpPr txBox="1">
            <a:spLocks noChangeArrowheads="1"/>
          </xdr:cNvSpPr>
        </xdr:nvSpPr>
        <xdr:spPr>
          <a:xfrm>
            <a:off x="456" y="135"/>
            <a:ext cx="22" cy="21"/>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L5</a:t>
            </a:r>
          </a:p>
        </xdr:txBody>
      </xdr:sp>
      <xdr:sp>
        <xdr:nvSpPr>
          <xdr:cNvPr id="55" name="Line 231"/>
          <xdr:cNvSpPr>
            <a:spLocks/>
          </xdr:cNvSpPr>
        </xdr:nvSpPr>
        <xdr:spPr>
          <a:xfrm flipH="1">
            <a:off x="494" y="2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232"/>
          <xdr:cNvSpPr>
            <a:spLocks/>
          </xdr:cNvSpPr>
        </xdr:nvSpPr>
        <xdr:spPr>
          <a:xfrm flipH="1">
            <a:off x="494" y="247"/>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233"/>
          <xdr:cNvSpPr>
            <a:spLocks/>
          </xdr:cNvSpPr>
        </xdr:nvSpPr>
        <xdr:spPr>
          <a:xfrm>
            <a:off x="499" y="247"/>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234"/>
          <xdr:cNvSpPr>
            <a:spLocks/>
          </xdr:cNvSpPr>
        </xdr:nvSpPr>
        <xdr:spPr>
          <a:xfrm>
            <a:off x="499" y="257"/>
            <a:ext cx="0" cy="1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235"/>
          <xdr:cNvSpPr>
            <a:spLocks/>
          </xdr:cNvSpPr>
        </xdr:nvSpPr>
        <xdr:spPr>
          <a:xfrm>
            <a:off x="499" y="237"/>
            <a:ext cx="0" cy="1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236"/>
          <xdr:cNvSpPr>
            <a:spLocks/>
          </xdr:cNvSpPr>
        </xdr:nvSpPr>
        <xdr:spPr>
          <a:xfrm flipV="1">
            <a:off x="480" y="138"/>
            <a:ext cx="0" cy="16"/>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Rectangle 237"/>
          <xdr:cNvSpPr>
            <a:spLocks/>
          </xdr:cNvSpPr>
        </xdr:nvSpPr>
        <xdr:spPr>
          <a:xfrm>
            <a:off x="131" y="256"/>
            <a:ext cx="9" cy="2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Rectangle 238"/>
          <xdr:cNvSpPr>
            <a:spLocks/>
          </xdr:cNvSpPr>
        </xdr:nvSpPr>
        <xdr:spPr>
          <a:xfrm>
            <a:off x="131" y="156"/>
            <a:ext cx="9" cy="2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239"/>
          <xdr:cNvSpPr>
            <a:spLocks/>
          </xdr:cNvSpPr>
        </xdr:nvSpPr>
        <xdr:spPr>
          <a:xfrm>
            <a:off x="65" y="217"/>
            <a:ext cx="174"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Rectangle 240"/>
          <xdr:cNvSpPr>
            <a:spLocks/>
          </xdr:cNvSpPr>
        </xdr:nvSpPr>
        <xdr:spPr>
          <a:xfrm>
            <a:off x="189" y="152"/>
            <a:ext cx="10" cy="12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Rectangle 241"/>
          <xdr:cNvSpPr>
            <a:spLocks/>
          </xdr:cNvSpPr>
        </xdr:nvSpPr>
        <xdr:spPr>
          <a:xfrm>
            <a:off x="123" y="175"/>
            <a:ext cx="66" cy="1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Rectangle 242"/>
          <xdr:cNvSpPr>
            <a:spLocks/>
          </xdr:cNvSpPr>
        </xdr:nvSpPr>
        <xdr:spPr>
          <a:xfrm>
            <a:off x="123" y="247"/>
            <a:ext cx="66" cy="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243"/>
          <xdr:cNvSpPr>
            <a:spLocks/>
          </xdr:cNvSpPr>
        </xdr:nvSpPr>
        <xdr:spPr>
          <a:xfrm flipH="1" flipV="1">
            <a:off x="123" y="206"/>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244"/>
          <xdr:cNvSpPr>
            <a:spLocks/>
          </xdr:cNvSpPr>
        </xdr:nvSpPr>
        <xdr:spPr>
          <a:xfrm>
            <a:off x="73" y="189"/>
            <a:ext cx="61" cy="2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245"/>
          <xdr:cNvSpPr>
            <a:spLocks/>
          </xdr:cNvSpPr>
        </xdr:nvSpPr>
        <xdr:spPr>
          <a:xfrm flipH="1" flipV="1">
            <a:off x="123" y="196"/>
            <a:ext cx="18" cy="1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246"/>
          <xdr:cNvSpPr>
            <a:spLocks/>
          </xdr:cNvSpPr>
        </xdr:nvSpPr>
        <xdr:spPr>
          <a:xfrm flipH="1">
            <a:off x="123" y="185"/>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247"/>
          <xdr:cNvSpPr>
            <a:spLocks/>
          </xdr:cNvSpPr>
        </xdr:nvSpPr>
        <xdr:spPr>
          <a:xfrm>
            <a:off x="146" y="185"/>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248"/>
          <xdr:cNvSpPr>
            <a:spLocks/>
          </xdr:cNvSpPr>
        </xdr:nvSpPr>
        <xdr:spPr>
          <a:xfrm flipV="1">
            <a:off x="123" y="227"/>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49"/>
          <xdr:cNvSpPr>
            <a:spLocks/>
          </xdr:cNvSpPr>
        </xdr:nvSpPr>
        <xdr:spPr>
          <a:xfrm flipH="1">
            <a:off x="146" y="227"/>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250"/>
          <xdr:cNvSpPr>
            <a:spLocks/>
          </xdr:cNvSpPr>
        </xdr:nvSpPr>
        <xdr:spPr>
          <a:xfrm flipH="1" flipV="1">
            <a:off x="123" y="227"/>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251"/>
          <xdr:cNvSpPr>
            <a:spLocks/>
          </xdr:cNvSpPr>
        </xdr:nvSpPr>
        <xdr:spPr>
          <a:xfrm flipV="1">
            <a:off x="134" y="123"/>
            <a:ext cx="0" cy="30"/>
          </a:xfrm>
          <a:prstGeom prst="line">
            <a:avLst/>
          </a:prstGeom>
          <a:noFill/>
          <a:ln w="2476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252"/>
          <xdr:cNvSpPr>
            <a:spLocks/>
          </xdr:cNvSpPr>
        </xdr:nvSpPr>
        <xdr:spPr>
          <a:xfrm flipH="1" flipV="1">
            <a:off x="32" y="168"/>
            <a:ext cx="36" cy="16"/>
          </a:xfrm>
          <a:prstGeom prst="line">
            <a:avLst/>
          </a:prstGeom>
          <a:noFill/>
          <a:ln w="2476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253"/>
          <xdr:cNvSpPr>
            <a:spLocks/>
          </xdr:cNvSpPr>
        </xdr:nvSpPr>
        <xdr:spPr>
          <a:xfrm flipH="1">
            <a:off x="77" y="178"/>
            <a:ext cx="6" cy="14"/>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54"/>
          <xdr:cNvSpPr>
            <a:spLocks/>
          </xdr:cNvSpPr>
        </xdr:nvSpPr>
        <xdr:spPr>
          <a:xfrm flipH="1" flipV="1">
            <a:off x="73" y="216"/>
            <a:ext cx="1" cy="17"/>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テキスト 139"/>
          <xdr:cNvSpPr txBox="1">
            <a:spLocks noChangeArrowheads="1"/>
          </xdr:cNvSpPr>
        </xdr:nvSpPr>
        <xdr:spPr>
          <a:xfrm>
            <a:off x="36" y="187"/>
            <a:ext cx="35"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30</a:t>
            </a:r>
            <a:r>
              <a:rPr lang="en-US" cap="none" sz="1100" b="0" i="0" u="none" baseline="0">
                <a:solidFill>
                  <a:srgbClr val="000000"/>
                </a:solidFill>
                <a:latin typeface="ＭＳ Ｐ明朝"/>
                <a:ea typeface="ＭＳ Ｐ明朝"/>
                <a:cs typeface="ＭＳ Ｐ明朝"/>
              </a:rPr>
              <a:t>°</a:t>
            </a:r>
          </a:p>
        </xdr:txBody>
      </xdr:sp>
      <xdr:sp>
        <xdr:nvSpPr>
          <xdr:cNvPr id="80" name="テキスト 140"/>
          <xdr:cNvSpPr txBox="1">
            <a:spLocks noChangeArrowheads="1"/>
          </xdr:cNvSpPr>
        </xdr:nvSpPr>
        <xdr:spPr>
          <a:xfrm>
            <a:off x="52" y="152"/>
            <a:ext cx="14"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Ｐ</a:t>
            </a:r>
            <a:r>
              <a:rPr lang="en-US" cap="none" sz="1100" b="0" i="0" u="none" baseline="0">
                <a:solidFill>
                  <a:srgbClr val="000000"/>
                </a:solidFill>
                <a:latin typeface="ＭＳ Ｐ明朝"/>
                <a:ea typeface="ＭＳ Ｐ明朝"/>
                <a:cs typeface="ＭＳ Ｐ明朝"/>
              </a:rPr>
              <a:t> </a:t>
            </a:r>
          </a:p>
        </xdr:txBody>
      </xdr:sp>
      <xdr:sp>
        <xdr:nvSpPr>
          <xdr:cNvPr id="81" name="テキスト 141"/>
          <xdr:cNvSpPr txBox="1">
            <a:spLocks noChangeArrowheads="1"/>
          </xdr:cNvSpPr>
        </xdr:nvSpPr>
        <xdr:spPr>
          <a:xfrm>
            <a:off x="142" y="124"/>
            <a:ext cx="22" cy="22"/>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Ｐｖ</a:t>
            </a:r>
          </a:p>
        </xdr:txBody>
      </xdr:sp>
      <xdr:sp>
        <xdr:nvSpPr>
          <xdr:cNvPr id="82" name="Freeform 258"/>
          <xdr:cNvSpPr>
            <a:spLocks/>
          </xdr:cNvSpPr>
        </xdr:nvSpPr>
        <xdr:spPr>
          <a:xfrm rot="489997">
            <a:off x="72" y="192"/>
            <a:ext cx="3" cy="25"/>
          </a:xfrm>
          <a:custGeom>
            <a:pathLst>
              <a:path h="42" w="5">
                <a:moveTo>
                  <a:pt x="5" y="42"/>
                </a:moveTo>
                <a:cubicBezTo>
                  <a:pt x="2" y="35"/>
                  <a:pt x="0" y="28"/>
                  <a:pt x="0" y="21"/>
                </a:cubicBezTo>
                <a:cubicBezTo>
                  <a:pt x="0" y="14"/>
                  <a:pt x="4" y="3"/>
                  <a:pt x="5"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259"/>
          <xdr:cNvSpPr>
            <a:spLocks/>
          </xdr:cNvSpPr>
        </xdr:nvSpPr>
        <xdr:spPr>
          <a:xfrm>
            <a:off x="480" y="173"/>
            <a:ext cx="0" cy="17"/>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Rectangle 260"/>
          <xdr:cNvSpPr>
            <a:spLocks/>
          </xdr:cNvSpPr>
        </xdr:nvSpPr>
        <xdr:spPr>
          <a:xfrm>
            <a:off x="523" y="166"/>
            <a:ext cx="9" cy="8"/>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261"/>
          <xdr:cNvSpPr>
            <a:spLocks/>
          </xdr:cNvSpPr>
        </xdr:nvSpPr>
        <xdr:spPr>
          <a:xfrm flipH="1">
            <a:off x="476" y="175"/>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262"/>
          <xdr:cNvSpPr>
            <a:spLocks/>
          </xdr:cNvSpPr>
        </xdr:nvSpPr>
        <xdr:spPr>
          <a:xfrm flipV="1">
            <a:off x="480" y="163"/>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Rectangle 263"/>
          <xdr:cNvSpPr>
            <a:spLocks/>
          </xdr:cNvSpPr>
        </xdr:nvSpPr>
        <xdr:spPr>
          <a:xfrm>
            <a:off x="523" y="257"/>
            <a:ext cx="9" cy="8"/>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Oval 264"/>
          <xdr:cNvSpPr>
            <a:spLocks/>
          </xdr:cNvSpPr>
        </xdr:nvSpPr>
        <xdr:spPr>
          <a:xfrm>
            <a:off x="478" y="163"/>
            <a:ext cx="4" cy="4"/>
          </a:xfrm>
          <a:prstGeom prst="ellipse">
            <a:avLst/>
          </a:pr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Text Box 265"/>
          <xdr:cNvSpPr txBox="1">
            <a:spLocks noChangeArrowheads="1"/>
          </xdr:cNvSpPr>
        </xdr:nvSpPr>
        <xdr:spPr>
          <a:xfrm>
            <a:off x="457" y="162"/>
            <a:ext cx="23" cy="20"/>
          </a:xfrm>
          <a:prstGeom prst="rect">
            <a:avLst/>
          </a:prstGeom>
          <a:noFill/>
          <a:ln w="1"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R1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xdr:row>
      <xdr:rowOff>95250</xdr:rowOff>
    </xdr:from>
    <xdr:to>
      <xdr:col>14</xdr:col>
      <xdr:colOff>123825</xdr:colOff>
      <xdr:row>12</xdr:row>
      <xdr:rowOff>104775</xdr:rowOff>
    </xdr:to>
    <xdr:grpSp>
      <xdr:nvGrpSpPr>
        <xdr:cNvPr id="1" name="Group 36"/>
        <xdr:cNvGrpSpPr>
          <a:grpSpLocks/>
        </xdr:cNvGrpSpPr>
      </xdr:nvGrpSpPr>
      <xdr:grpSpPr>
        <a:xfrm>
          <a:off x="3038475" y="666750"/>
          <a:ext cx="2019300" cy="1914525"/>
          <a:chOff x="303" y="64"/>
          <a:chExt cx="200" cy="181"/>
        </a:xfrm>
        <a:solidFill>
          <a:srgbClr val="FFFFFF"/>
        </a:solidFill>
      </xdr:grpSpPr>
      <xdr:sp>
        <xdr:nvSpPr>
          <xdr:cNvPr id="2" name="Line 1"/>
          <xdr:cNvSpPr>
            <a:spLocks/>
          </xdr:cNvSpPr>
        </xdr:nvSpPr>
        <xdr:spPr>
          <a:xfrm flipH="1">
            <a:off x="354" y="96"/>
            <a:ext cx="13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
          <xdr:cNvSpPr>
            <a:spLocks/>
          </xdr:cNvSpPr>
        </xdr:nvSpPr>
        <xdr:spPr>
          <a:xfrm flipH="1">
            <a:off x="354" y="187"/>
            <a:ext cx="13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354" y="97"/>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flipH="1">
            <a:off x="355" y="187"/>
            <a:ext cx="7" cy="1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
          <xdr:cNvSpPr>
            <a:spLocks/>
          </xdr:cNvSpPr>
        </xdr:nvSpPr>
        <xdr:spPr>
          <a:xfrm>
            <a:off x="362" y="187"/>
            <a:ext cx="10" cy="1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322" y="202"/>
            <a:ext cx="59"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362" y="97"/>
            <a:ext cx="0" cy="9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23" y="126"/>
            <a:ext cx="30" cy="34"/>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9"/>
          <xdr:cNvSpPr>
            <a:spLocks/>
          </xdr:cNvSpPr>
        </xdr:nvSpPr>
        <xdr:spPr>
          <a:xfrm flipH="1">
            <a:off x="354" y="126"/>
            <a:ext cx="6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
          <xdr:cNvSpPr>
            <a:spLocks/>
          </xdr:cNvSpPr>
        </xdr:nvSpPr>
        <xdr:spPr>
          <a:xfrm flipH="1">
            <a:off x="355" y="160"/>
            <a:ext cx="67"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1"/>
          <xdr:cNvSpPr>
            <a:spLocks/>
          </xdr:cNvSpPr>
        </xdr:nvSpPr>
        <xdr:spPr>
          <a:xfrm>
            <a:off x="381" y="202"/>
            <a:ext cx="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2"/>
          <xdr:cNvSpPr>
            <a:spLocks/>
          </xdr:cNvSpPr>
        </xdr:nvSpPr>
        <xdr:spPr>
          <a:xfrm>
            <a:off x="322" y="202"/>
            <a:ext cx="0" cy="3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3"/>
          <xdr:cNvSpPr>
            <a:spLocks/>
          </xdr:cNvSpPr>
        </xdr:nvSpPr>
        <xdr:spPr>
          <a:xfrm flipV="1">
            <a:off x="354" y="79"/>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4"/>
          <xdr:cNvSpPr>
            <a:spLocks/>
          </xdr:cNvSpPr>
        </xdr:nvSpPr>
        <xdr:spPr>
          <a:xfrm flipV="1">
            <a:off x="423" y="79"/>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5"/>
          <xdr:cNvSpPr>
            <a:spLocks/>
          </xdr:cNvSpPr>
        </xdr:nvSpPr>
        <xdr:spPr>
          <a:xfrm flipV="1">
            <a:off x="453" y="78"/>
            <a:ext cx="0"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6"/>
          <xdr:cNvSpPr>
            <a:spLocks/>
          </xdr:cNvSpPr>
        </xdr:nvSpPr>
        <xdr:spPr>
          <a:xfrm>
            <a:off x="354" y="84"/>
            <a:ext cx="7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7"/>
          <xdr:cNvSpPr>
            <a:spLocks/>
          </xdr:cNvSpPr>
        </xdr:nvSpPr>
        <xdr:spPr>
          <a:xfrm>
            <a:off x="423" y="84"/>
            <a:ext cx="3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8"/>
          <xdr:cNvSpPr>
            <a:spLocks/>
          </xdr:cNvSpPr>
        </xdr:nvSpPr>
        <xdr:spPr>
          <a:xfrm>
            <a:off x="432" y="160"/>
            <a:ext cx="15" cy="56"/>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9"/>
          <xdr:cNvSpPr>
            <a:spLocks/>
          </xdr:cNvSpPr>
        </xdr:nvSpPr>
        <xdr:spPr>
          <a:xfrm>
            <a:off x="447" y="216"/>
            <a:ext cx="5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0"/>
          <xdr:cNvSpPr>
            <a:spLocks/>
          </xdr:cNvSpPr>
        </xdr:nvSpPr>
        <xdr:spPr>
          <a:xfrm flipH="1">
            <a:off x="317" y="144"/>
            <a:ext cx="3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1"/>
          <xdr:cNvSpPr>
            <a:spLocks/>
          </xdr:cNvSpPr>
        </xdr:nvSpPr>
        <xdr:spPr>
          <a:xfrm>
            <a:off x="455" y="126"/>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2"/>
          <xdr:cNvSpPr>
            <a:spLocks/>
          </xdr:cNvSpPr>
        </xdr:nvSpPr>
        <xdr:spPr>
          <a:xfrm>
            <a:off x="455" y="160"/>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3"/>
          <xdr:cNvSpPr>
            <a:spLocks/>
          </xdr:cNvSpPr>
        </xdr:nvSpPr>
        <xdr:spPr>
          <a:xfrm>
            <a:off x="469" y="126"/>
            <a:ext cx="0" cy="34"/>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24"/>
          <xdr:cNvSpPr txBox="1">
            <a:spLocks noChangeArrowheads="1"/>
          </xdr:cNvSpPr>
        </xdr:nvSpPr>
        <xdr:spPr>
          <a:xfrm>
            <a:off x="469" y="135"/>
            <a:ext cx="21" cy="15"/>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Ｈ</a:t>
            </a:r>
          </a:p>
        </xdr:txBody>
      </xdr:sp>
      <xdr:sp>
        <xdr:nvSpPr>
          <xdr:cNvPr id="26" name="Line 25"/>
          <xdr:cNvSpPr>
            <a:spLocks/>
          </xdr:cNvSpPr>
        </xdr:nvSpPr>
        <xdr:spPr>
          <a:xfrm>
            <a:off x="397" y="180"/>
            <a:ext cx="21" cy="6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6"/>
          <xdr:cNvSpPr>
            <a:spLocks/>
          </xdr:cNvSpPr>
        </xdr:nvSpPr>
        <xdr:spPr>
          <a:xfrm>
            <a:off x="418" y="245"/>
            <a:ext cx="6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Text Box 27"/>
          <xdr:cNvSpPr txBox="1">
            <a:spLocks noChangeArrowheads="1"/>
          </xdr:cNvSpPr>
        </xdr:nvSpPr>
        <xdr:spPr>
          <a:xfrm>
            <a:off x="378" y="64"/>
            <a:ext cx="20"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L1</a:t>
            </a:r>
          </a:p>
        </xdr:txBody>
      </xdr:sp>
      <xdr:sp>
        <xdr:nvSpPr>
          <xdr:cNvPr id="29" name="Text Box 28"/>
          <xdr:cNvSpPr txBox="1">
            <a:spLocks noChangeArrowheads="1"/>
          </xdr:cNvSpPr>
        </xdr:nvSpPr>
        <xdr:spPr>
          <a:xfrm>
            <a:off x="430" y="64"/>
            <a:ext cx="20"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L2</a:t>
            </a:r>
          </a:p>
        </xdr:txBody>
      </xdr:sp>
      <xdr:sp>
        <xdr:nvSpPr>
          <xdr:cNvPr id="30" name="Text Box 29"/>
          <xdr:cNvSpPr txBox="1">
            <a:spLocks noChangeArrowheads="1"/>
          </xdr:cNvSpPr>
        </xdr:nvSpPr>
        <xdr:spPr>
          <a:xfrm>
            <a:off x="455" y="106"/>
            <a:ext cx="13"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A</a:t>
            </a:r>
          </a:p>
        </xdr:txBody>
      </xdr:sp>
      <xdr:sp>
        <xdr:nvSpPr>
          <xdr:cNvPr id="31" name="Text Box 30"/>
          <xdr:cNvSpPr txBox="1">
            <a:spLocks noChangeArrowheads="1"/>
          </xdr:cNvSpPr>
        </xdr:nvSpPr>
        <xdr:spPr>
          <a:xfrm>
            <a:off x="455" y="160"/>
            <a:ext cx="13"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A</a:t>
            </a:r>
          </a:p>
        </xdr:txBody>
      </xdr:sp>
      <xdr:sp>
        <xdr:nvSpPr>
          <xdr:cNvPr id="32" name="Text Box 31"/>
          <xdr:cNvSpPr txBox="1">
            <a:spLocks noChangeArrowheads="1"/>
          </xdr:cNvSpPr>
        </xdr:nvSpPr>
        <xdr:spPr>
          <a:xfrm>
            <a:off x="337" y="160"/>
            <a:ext cx="12"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B</a:t>
            </a:r>
          </a:p>
        </xdr:txBody>
      </xdr:sp>
      <xdr:sp>
        <xdr:nvSpPr>
          <xdr:cNvPr id="33" name="Text Box 32"/>
          <xdr:cNvSpPr txBox="1">
            <a:spLocks noChangeArrowheads="1"/>
          </xdr:cNvSpPr>
        </xdr:nvSpPr>
        <xdr:spPr>
          <a:xfrm>
            <a:off x="404" y="161"/>
            <a:ext cx="12"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B</a:t>
            </a:r>
          </a:p>
        </xdr:txBody>
      </xdr:sp>
      <xdr:sp>
        <xdr:nvSpPr>
          <xdr:cNvPr id="34" name="Text Box 33"/>
          <xdr:cNvSpPr txBox="1">
            <a:spLocks noChangeArrowheads="1"/>
          </xdr:cNvSpPr>
        </xdr:nvSpPr>
        <xdr:spPr>
          <a:xfrm>
            <a:off x="303" y="124"/>
            <a:ext cx="11"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P</a:t>
            </a:r>
          </a:p>
        </xdr:txBody>
      </xdr:sp>
      <xdr:sp>
        <xdr:nvSpPr>
          <xdr:cNvPr id="35" name="Text Box 34"/>
          <xdr:cNvSpPr txBox="1">
            <a:spLocks noChangeArrowheads="1"/>
          </xdr:cNvSpPr>
        </xdr:nvSpPr>
        <xdr:spPr>
          <a:xfrm>
            <a:off x="424" y="225"/>
            <a:ext cx="60" cy="2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主桁腹板</a:t>
            </a:r>
          </a:p>
        </xdr:txBody>
      </xdr:sp>
      <xdr:sp>
        <xdr:nvSpPr>
          <xdr:cNvPr id="36" name="Text Box 35"/>
          <xdr:cNvSpPr txBox="1">
            <a:spLocks noChangeArrowheads="1"/>
          </xdr:cNvSpPr>
        </xdr:nvSpPr>
        <xdr:spPr>
          <a:xfrm>
            <a:off x="455" y="196"/>
            <a:ext cx="46" cy="21"/>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rPr>
              <a:t>補強板</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63</xdr:row>
      <xdr:rowOff>0</xdr:rowOff>
    </xdr:from>
    <xdr:to>
      <xdr:col>10</xdr:col>
      <xdr:colOff>0</xdr:colOff>
      <xdr:row>63</xdr:row>
      <xdr:rowOff>0</xdr:rowOff>
    </xdr:to>
    <xdr:sp>
      <xdr:nvSpPr>
        <xdr:cNvPr id="1" name="Line 16"/>
        <xdr:cNvSpPr>
          <a:spLocks/>
        </xdr:cNvSpPr>
      </xdr:nvSpPr>
      <xdr:spPr>
        <a:xfrm flipV="1">
          <a:off x="3524250" y="1137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63</xdr:row>
      <xdr:rowOff>0</xdr:rowOff>
    </xdr:from>
    <xdr:to>
      <xdr:col>10</xdr:col>
      <xdr:colOff>0</xdr:colOff>
      <xdr:row>63</xdr:row>
      <xdr:rowOff>0</xdr:rowOff>
    </xdr:to>
    <xdr:sp>
      <xdr:nvSpPr>
        <xdr:cNvPr id="2" name="Line 17"/>
        <xdr:cNvSpPr>
          <a:spLocks/>
        </xdr:cNvSpPr>
      </xdr:nvSpPr>
      <xdr:spPr>
        <a:xfrm flipV="1">
          <a:off x="3524250" y="1137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63</xdr:row>
      <xdr:rowOff>0</xdr:rowOff>
    </xdr:from>
    <xdr:to>
      <xdr:col>8</xdr:col>
      <xdr:colOff>285750</xdr:colOff>
      <xdr:row>63</xdr:row>
      <xdr:rowOff>0</xdr:rowOff>
    </xdr:to>
    <xdr:sp>
      <xdr:nvSpPr>
        <xdr:cNvPr id="3" name="Text Box 18"/>
        <xdr:cNvSpPr txBox="1">
          <a:spLocks noChangeArrowheads="1"/>
        </xdr:cNvSpPr>
      </xdr:nvSpPr>
      <xdr:spPr>
        <a:xfrm>
          <a:off x="2828925" y="11372850"/>
          <a:ext cx="276225" cy="0"/>
        </a:xfrm>
        <a:prstGeom prst="rect">
          <a:avLst/>
        </a:prstGeom>
        <a:noFill/>
        <a:ln w="0" cmpd="sng">
          <a:noFill/>
        </a:ln>
      </xdr:spPr>
      <xdr:txBody>
        <a:bodyPr vertOverflow="clip" wrap="square" lIns="27432" tIns="0" rIns="27432" bIns="0" vert="wordArtVertRtl"/>
        <a:p>
          <a:pPr algn="ctr">
            <a:defRPr/>
          </a:pPr>
          <a:r>
            <a:rPr lang="en-US" cap="none" sz="1100" b="0" i="0" u="none" baseline="0">
              <a:solidFill>
                <a:srgbClr val="000000"/>
              </a:solidFill>
            </a:rPr>
            <a:t>l</a:t>
          </a:r>
        </a:p>
      </xdr:txBody>
    </xdr:sp>
    <xdr:clientData/>
  </xdr:twoCellAnchor>
  <xdr:twoCellAnchor>
    <xdr:from>
      <xdr:col>5</xdr:col>
      <xdr:colOff>295275</xdr:colOff>
      <xdr:row>63</xdr:row>
      <xdr:rowOff>0</xdr:rowOff>
    </xdr:from>
    <xdr:to>
      <xdr:col>6</xdr:col>
      <xdr:colOff>257175</xdr:colOff>
      <xdr:row>63</xdr:row>
      <xdr:rowOff>0</xdr:rowOff>
    </xdr:to>
    <xdr:sp>
      <xdr:nvSpPr>
        <xdr:cNvPr id="4" name="Text Box 19"/>
        <xdr:cNvSpPr txBox="1">
          <a:spLocks noChangeArrowheads="1"/>
        </xdr:cNvSpPr>
      </xdr:nvSpPr>
      <xdr:spPr>
        <a:xfrm>
          <a:off x="2057400" y="11372850"/>
          <a:ext cx="314325" cy="0"/>
        </a:xfrm>
        <a:prstGeom prst="rect">
          <a:avLst/>
        </a:prstGeom>
        <a:noFill/>
        <a:ln w="0" cmpd="sng">
          <a:noFill/>
        </a:ln>
      </xdr:spPr>
      <xdr:txBody>
        <a:bodyPr vertOverflow="clip" wrap="square" lIns="27432" tIns="0" rIns="27432" bIns="0" vert="wordArtVertRtl"/>
        <a:p>
          <a:pPr algn="ctr">
            <a:defRPr/>
          </a:pPr>
          <a:r>
            <a:rPr lang="en-US" cap="none" sz="1100" b="0" i="0" u="none" baseline="0">
              <a:solidFill>
                <a:srgbClr val="000000"/>
              </a:solidFill>
            </a:rPr>
            <a:t>l</a:t>
          </a:r>
        </a:p>
      </xdr:txBody>
    </xdr:sp>
    <xdr:clientData/>
  </xdr:twoCellAnchor>
  <xdr:twoCellAnchor>
    <xdr:from>
      <xdr:col>2</xdr:col>
      <xdr:colOff>295275</xdr:colOff>
      <xdr:row>26</xdr:row>
      <xdr:rowOff>47625</xdr:rowOff>
    </xdr:from>
    <xdr:to>
      <xdr:col>13</xdr:col>
      <xdr:colOff>0</xdr:colOff>
      <xdr:row>48</xdr:row>
      <xdr:rowOff>114300</xdr:rowOff>
    </xdr:to>
    <xdr:grpSp>
      <xdr:nvGrpSpPr>
        <xdr:cNvPr id="5" name="Group 66"/>
        <xdr:cNvGrpSpPr>
          <a:grpSpLocks/>
        </xdr:cNvGrpSpPr>
      </xdr:nvGrpSpPr>
      <xdr:grpSpPr>
        <a:xfrm>
          <a:off x="1000125" y="5172075"/>
          <a:ext cx="3581400" cy="3695700"/>
          <a:chOff x="58" y="522"/>
          <a:chExt cx="423" cy="388"/>
        </a:xfrm>
        <a:solidFill>
          <a:srgbClr val="FFFFFF"/>
        </a:solidFill>
      </xdr:grpSpPr>
      <xdr:sp>
        <xdr:nvSpPr>
          <xdr:cNvPr id="6" name="Line 48"/>
          <xdr:cNvSpPr>
            <a:spLocks/>
          </xdr:cNvSpPr>
        </xdr:nvSpPr>
        <xdr:spPr>
          <a:xfrm>
            <a:off x="74" y="910"/>
            <a:ext cx="0"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
          <xdr:cNvSpPr>
            <a:spLocks/>
          </xdr:cNvSpPr>
        </xdr:nvSpPr>
        <xdr:spPr>
          <a:xfrm>
            <a:off x="95" y="575"/>
            <a:ext cx="3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
          <xdr:cNvSpPr>
            <a:spLocks/>
          </xdr:cNvSpPr>
        </xdr:nvSpPr>
        <xdr:spPr>
          <a:xfrm>
            <a:off x="95" y="660"/>
            <a:ext cx="3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3"/>
          <xdr:cNvSpPr>
            <a:spLocks/>
          </xdr:cNvSpPr>
        </xdr:nvSpPr>
        <xdr:spPr>
          <a:xfrm>
            <a:off x="222" y="567"/>
            <a:ext cx="111" cy="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
          <xdr:cNvSpPr>
            <a:spLocks/>
          </xdr:cNvSpPr>
        </xdr:nvSpPr>
        <xdr:spPr>
          <a:xfrm flipH="1">
            <a:off x="100" y="575"/>
            <a:ext cx="122" cy="8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5"/>
          <xdr:cNvSpPr>
            <a:spLocks/>
          </xdr:cNvSpPr>
        </xdr:nvSpPr>
        <xdr:spPr>
          <a:xfrm>
            <a:off x="333" y="575"/>
            <a:ext cx="122" cy="8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6"/>
          <xdr:cNvSpPr>
            <a:spLocks/>
          </xdr:cNvSpPr>
        </xdr:nvSpPr>
        <xdr:spPr>
          <a:xfrm flipH="1">
            <a:off x="74" y="57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7"/>
          <xdr:cNvSpPr>
            <a:spLocks/>
          </xdr:cNvSpPr>
        </xdr:nvSpPr>
        <xdr:spPr>
          <a:xfrm flipH="1">
            <a:off x="74" y="660"/>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9"/>
          <xdr:cNvSpPr>
            <a:spLocks/>
          </xdr:cNvSpPr>
        </xdr:nvSpPr>
        <xdr:spPr>
          <a:xfrm>
            <a:off x="81" y="575"/>
            <a:ext cx="0" cy="8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0"/>
          <xdr:cNvSpPr>
            <a:spLocks/>
          </xdr:cNvSpPr>
        </xdr:nvSpPr>
        <xdr:spPr>
          <a:xfrm flipV="1">
            <a:off x="222" y="531"/>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1"/>
          <xdr:cNvSpPr>
            <a:spLocks/>
          </xdr:cNvSpPr>
        </xdr:nvSpPr>
        <xdr:spPr>
          <a:xfrm flipV="1">
            <a:off x="333" y="532"/>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2"/>
          <xdr:cNvSpPr>
            <a:spLocks/>
          </xdr:cNvSpPr>
        </xdr:nvSpPr>
        <xdr:spPr>
          <a:xfrm flipH="1">
            <a:off x="222" y="542"/>
            <a:ext cx="111"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4"/>
          <xdr:cNvSpPr>
            <a:spLocks/>
          </xdr:cNvSpPr>
        </xdr:nvSpPr>
        <xdr:spPr>
          <a:xfrm flipV="1">
            <a:off x="166" y="575"/>
            <a:ext cx="0" cy="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5"/>
          <xdr:cNvSpPr>
            <a:spLocks/>
          </xdr:cNvSpPr>
        </xdr:nvSpPr>
        <xdr:spPr>
          <a:xfrm flipV="1">
            <a:off x="387" y="575"/>
            <a:ext cx="0" cy="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50"/>
          <xdr:cNvSpPr>
            <a:spLocks/>
          </xdr:cNvSpPr>
        </xdr:nvSpPr>
        <xdr:spPr>
          <a:xfrm flipV="1">
            <a:off x="166" y="531"/>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51"/>
          <xdr:cNvSpPr>
            <a:spLocks/>
          </xdr:cNvSpPr>
        </xdr:nvSpPr>
        <xdr:spPr>
          <a:xfrm flipV="1">
            <a:off x="387" y="532"/>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52"/>
          <xdr:cNvSpPr>
            <a:spLocks/>
          </xdr:cNvSpPr>
        </xdr:nvSpPr>
        <xdr:spPr>
          <a:xfrm flipH="1">
            <a:off x="166" y="542"/>
            <a:ext cx="56"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53"/>
          <xdr:cNvSpPr>
            <a:spLocks/>
          </xdr:cNvSpPr>
        </xdr:nvSpPr>
        <xdr:spPr>
          <a:xfrm flipH="1">
            <a:off x="333" y="542"/>
            <a:ext cx="54"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Text Box 54"/>
          <xdr:cNvSpPr txBox="1">
            <a:spLocks noChangeArrowheads="1"/>
          </xdr:cNvSpPr>
        </xdr:nvSpPr>
        <xdr:spPr>
          <a:xfrm>
            <a:off x="177" y="522"/>
            <a:ext cx="39" cy="20"/>
          </a:xfrm>
          <a:prstGeom prst="rect">
            <a:avLst/>
          </a:prstGeom>
          <a:noFill/>
          <a:ln w="0" cmpd="sng">
            <a:noFill/>
          </a:ln>
        </xdr:spPr>
        <xdr:txBody>
          <a:bodyPr vertOverflow="clip" wrap="square" lIns="18288" tIns="18288" rIns="0" bIns="0">
            <a:spAutoFit/>
          </a:bodyPr>
          <a:p>
            <a:pPr algn="l">
              <a:defRPr/>
            </a:pPr>
            <a:r>
              <a:rPr lang="en-US" cap="none" sz="1100" b="0" i="0" u="none" baseline="0">
                <a:solidFill>
                  <a:srgbClr val="000000"/>
                </a:solidFill>
              </a:rPr>
              <a:t>Ta/2</a:t>
            </a:r>
          </a:p>
        </xdr:txBody>
      </xdr:sp>
      <xdr:sp>
        <xdr:nvSpPr>
          <xdr:cNvPr id="25" name="Text Box 55"/>
          <xdr:cNvSpPr txBox="1">
            <a:spLocks noChangeArrowheads="1"/>
          </xdr:cNvSpPr>
        </xdr:nvSpPr>
        <xdr:spPr>
          <a:xfrm>
            <a:off x="343" y="522"/>
            <a:ext cx="38" cy="20"/>
          </a:xfrm>
          <a:prstGeom prst="rect">
            <a:avLst/>
          </a:prstGeom>
          <a:noFill/>
          <a:ln w="0" cmpd="sng">
            <a:noFill/>
          </a:ln>
        </xdr:spPr>
        <xdr:txBody>
          <a:bodyPr vertOverflow="clip" wrap="square" lIns="18288" tIns="18288" rIns="0" bIns="0">
            <a:spAutoFit/>
          </a:bodyPr>
          <a:p>
            <a:pPr algn="l">
              <a:defRPr/>
            </a:pPr>
            <a:r>
              <a:rPr lang="en-US" cap="none" sz="1100" b="0" i="0" u="none" baseline="0">
                <a:solidFill>
                  <a:srgbClr val="000000"/>
                </a:solidFill>
              </a:rPr>
              <a:t>Ta/2</a:t>
            </a:r>
          </a:p>
        </xdr:txBody>
      </xdr:sp>
      <xdr:sp>
        <xdr:nvSpPr>
          <xdr:cNvPr id="26" name="Text Box 56"/>
          <xdr:cNvSpPr txBox="1">
            <a:spLocks noChangeArrowheads="1"/>
          </xdr:cNvSpPr>
        </xdr:nvSpPr>
        <xdr:spPr>
          <a:xfrm>
            <a:off x="58" y="609"/>
            <a:ext cx="23" cy="18"/>
          </a:xfrm>
          <a:prstGeom prst="rect">
            <a:avLst/>
          </a:prstGeom>
          <a:noFill/>
          <a:ln w="0" cmpd="sng">
            <a:noFill/>
          </a:ln>
        </xdr:spPr>
        <xdr:txBody>
          <a:bodyPr vertOverflow="clip" wrap="square" lIns="18288" tIns="18288" rIns="0" bIns="0" vert="vert270">
            <a:spAutoFit/>
          </a:bodyPr>
          <a:p>
            <a:pPr algn="l">
              <a:defRPr/>
            </a:pPr>
            <a:r>
              <a:rPr lang="en-US" cap="none" sz="1100" b="0" i="0" u="none" baseline="0">
                <a:solidFill>
                  <a:srgbClr val="000000"/>
                </a:solidFill>
              </a:rPr>
              <a:t>Ta</a:t>
            </a:r>
          </a:p>
        </xdr:txBody>
      </xdr:sp>
      <xdr:sp>
        <xdr:nvSpPr>
          <xdr:cNvPr id="27" name="Text Box 57"/>
          <xdr:cNvSpPr txBox="1">
            <a:spLocks noChangeArrowheads="1"/>
          </xdr:cNvSpPr>
        </xdr:nvSpPr>
        <xdr:spPr>
          <a:xfrm>
            <a:off x="273" y="523"/>
            <a:ext cx="10" cy="20"/>
          </a:xfrm>
          <a:prstGeom prst="rect">
            <a:avLst/>
          </a:prstGeom>
          <a:noFill/>
          <a:ln w="0" cmpd="sng">
            <a:noFill/>
          </a:ln>
        </xdr:spPr>
        <xdr:txBody>
          <a:bodyPr vertOverflow="clip" wrap="square" lIns="18288" tIns="18288" rIns="0" bIns="0">
            <a:spAutoFit/>
          </a:bodyPr>
          <a:p>
            <a:pPr algn="l">
              <a:defRPr/>
            </a:pPr>
            <a:r>
              <a:rPr lang="en-US" cap="none" sz="1100" b="0" i="0" u="none" baseline="0">
                <a:solidFill>
                  <a:srgbClr val="000000"/>
                </a:solidFill>
              </a:rPr>
              <a:t>a</a:t>
            </a:r>
          </a:p>
        </xdr:txBody>
      </xdr:sp>
      <xdr:sp>
        <xdr:nvSpPr>
          <xdr:cNvPr id="28" name="Rectangle 20"/>
          <xdr:cNvSpPr>
            <a:spLocks/>
          </xdr:cNvSpPr>
        </xdr:nvSpPr>
        <xdr:spPr>
          <a:xfrm>
            <a:off x="223" y="771"/>
            <a:ext cx="110" cy="8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1"/>
          <xdr:cNvSpPr>
            <a:spLocks/>
          </xdr:cNvSpPr>
        </xdr:nvSpPr>
        <xdr:spPr>
          <a:xfrm flipV="1">
            <a:off x="168" y="689"/>
            <a:ext cx="0" cy="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2"/>
          <xdr:cNvSpPr>
            <a:spLocks/>
          </xdr:cNvSpPr>
        </xdr:nvSpPr>
        <xdr:spPr>
          <a:xfrm flipV="1">
            <a:off x="386" y="690"/>
            <a:ext cx="0" cy="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23"/>
          <xdr:cNvSpPr>
            <a:spLocks/>
          </xdr:cNvSpPr>
        </xdr:nvSpPr>
        <xdr:spPr>
          <a:xfrm flipH="1">
            <a:off x="168" y="702"/>
            <a:ext cx="218"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25"/>
          <xdr:cNvSpPr>
            <a:spLocks/>
          </xdr:cNvSpPr>
        </xdr:nvSpPr>
        <xdr:spPr>
          <a:xfrm flipV="1">
            <a:off x="223" y="743"/>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6"/>
          <xdr:cNvSpPr>
            <a:spLocks/>
          </xdr:cNvSpPr>
        </xdr:nvSpPr>
        <xdr:spPr>
          <a:xfrm flipV="1">
            <a:off x="333" y="744"/>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28"/>
          <xdr:cNvSpPr>
            <a:spLocks/>
          </xdr:cNvSpPr>
        </xdr:nvSpPr>
        <xdr:spPr>
          <a:xfrm flipH="1">
            <a:off x="223" y="752"/>
            <a:ext cx="11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0"/>
          <xdr:cNvSpPr>
            <a:spLocks/>
          </xdr:cNvSpPr>
        </xdr:nvSpPr>
        <xdr:spPr>
          <a:xfrm flipH="1">
            <a:off x="114" y="728"/>
            <a:ext cx="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2"/>
          <xdr:cNvSpPr>
            <a:spLocks/>
          </xdr:cNvSpPr>
        </xdr:nvSpPr>
        <xdr:spPr>
          <a:xfrm>
            <a:off x="128" y="728"/>
            <a:ext cx="0" cy="17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3"/>
          <xdr:cNvSpPr>
            <a:spLocks/>
          </xdr:cNvSpPr>
        </xdr:nvSpPr>
        <xdr:spPr>
          <a:xfrm flipH="1">
            <a:off x="188" y="854"/>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4"/>
          <xdr:cNvSpPr>
            <a:spLocks/>
          </xdr:cNvSpPr>
        </xdr:nvSpPr>
        <xdr:spPr>
          <a:xfrm flipH="1">
            <a:off x="187" y="77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7"/>
          <xdr:cNvSpPr>
            <a:spLocks/>
          </xdr:cNvSpPr>
        </xdr:nvSpPr>
        <xdr:spPr>
          <a:xfrm>
            <a:off x="198" y="771"/>
            <a:ext cx="0" cy="82"/>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38"/>
          <xdr:cNvSpPr>
            <a:spLocks/>
          </xdr:cNvSpPr>
        </xdr:nvSpPr>
        <xdr:spPr>
          <a:xfrm>
            <a:off x="222" y="728"/>
            <a:ext cx="1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39"/>
          <xdr:cNvSpPr>
            <a:spLocks/>
          </xdr:cNvSpPr>
        </xdr:nvSpPr>
        <xdr:spPr>
          <a:xfrm>
            <a:off x="222" y="898"/>
            <a:ext cx="1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0"/>
          <xdr:cNvSpPr>
            <a:spLocks/>
          </xdr:cNvSpPr>
        </xdr:nvSpPr>
        <xdr:spPr>
          <a:xfrm>
            <a:off x="388" y="772"/>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1"/>
          <xdr:cNvSpPr>
            <a:spLocks/>
          </xdr:cNvSpPr>
        </xdr:nvSpPr>
        <xdr:spPr>
          <a:xfrm>
            <a:off x="168" y="77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Arc 42"/>
          <xdr:cNvSpPr>
            <a:spLocks/>
          </xdr:cNvSpPr>
        </xdr:nvSpPr>
        <xdr:spPr>
          <a:xfrm flipV="1">
            <a:off x="333" y="854"/>
            <a:ext cx="55" cy="44"/>
          </a:xfrm>
          <a:custGeom>
            <a:pathLst>
              <a:path fill="none" h="22688" w="21601">
                <a:moveTo>
                  <a:pt x="0" y="0"/>
                </a:moveTo>
                <a:cubicBezTo>
                  <a:pt x="0" y="0"/>
                  <a:pt x="0" y="-1"/>
                  <a:pt x="1" y="0"/>
                </a:cubicBezTo>
                <a:cubicBezTo>
                  <a:pt x="11930" y="0"/>
                  <a:pt x="21601" y="9670"/>
                  <a:pt x="21601" y="21600"/>
                </a:cubicBezTo>
                <a:cubicBezTo>
                  <a:pt x="21601" y="21962"/>
                  <a:pt x="21591" y="22325"/>
                  <a:pt x="21573" y="22687"/>
                </a:cubicBezTo>
              </a:path>
              <a:path stroke="0" h="22688" w="21601">
                <a:moveTo>
                  <a:pt x="0" y="0"/>
                </a:moveTo>
                <a:cubicBezTo>
                  <a:pt x="0" y="0"/>
                  <a:pt x="0" y="-1"/>
                  <a:pt x="1" y="0"/>
                </a:cubicBezTo>
                <a:cubicBezTo>
                  <a:pt x="11930" y="0"/>
                  <a:pt x="21601" y="9670"/>
                  <a:pt x="21601" y="21600"/>
                </a:cubicBezTo>
                <a:cubicBezTo>
                  <a:pt x="21601" y="21962"/>
                  <a:pt x="21591" y="22325"/>
                  <a:pt x="21573" y="22687"/>
                </a:cubicBezTo>
                <a:lnTo>
                  <a:pt x="1" y="21600"/>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3"/>
          <xdr:cNvSpPr>
            <a:spLocks/>
          </xdr:cNvSpPr>
        </xdr:nvSpPr>
        <xdr:spPr>
          <a:xfrm flipH="1" flipV="1">
            <a:off x="168" y="853"/>
            <a:ext cx="54" cy="4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Arc 44"/>
          <xdr:cNvSpPr>
            <a:spLocks/>
          </xdr:cNvSpPr>
        </xdr:nvSpPr>
        <xdr:spPr>
          <a:xfrm flipH="1">
            <a:off x="168" y="728"/>
            <a:ext cx="54" cy="4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rc 45"/>
          <xdr:cNvSpPr>
            <a:spLocks/>
          </xdr:cNvSpPr>
        </xdr:nvSpPr>
        <xdr:spPr>
          <a:xfrm>
            <a:off x="333" y="728"/>
            <a:ext cx="55" cy="4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6"/>
          <xdr:cNvSpPr>
            <a:spLocks/>
          </xdr:cNvSpPr>
        </xdr:nvSpPr>
        <xdr:spPr>
          <a:xfrm>
            <a:off x="115" y="898"/>
            <a:ext cx="45"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7"/>
          <xdr:cNvSpPr>
            <a:spLocks/>
          </xdr:cNvSpPr>
        </xdr:nvSpPr>
        <xdr:spPr>
          <a:xfrm>
            <a:off x="114" y="898"/>
            <a:ext cx="51"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49"/>
          <xdr:cNvSpPr>
            <a:spLocks/>
          </xdr:cNvSpPr>
        </xdr:nvSpPr>
        <xdr:spPr>
          <a:xfrm flipV="1">
            <a:off x="115" y="898"/>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Text Box 59"/>
          <xdr:cNvSpPr txBox="1">
            <a:spLocks noChangeArrowheads="1"/>
          </xdr:cNvSpPr>
        </xdr:nvSpPr>
        <xdr:spPr>
          <a:xfrm>
            <a:off x="259" y="682"/>
            <a:ext cx="38" cy="20"/>
          </a:xfrm>
          <a:prstGeom prst="rect">
            <a:avLst/>
          </a:prstGeom>
          <a:noFill/>
          <a:ln w="0" cmpd="sng">
            <a:noFill/>
          </a:ln>
        </xdr:spPr>
        <xdr:txBody>
          <a:bodyPr vertOverflow="clip" wrap="square" lIns="18288" tIns="18288" rIns="0" bIns="0">
            <a:spAutoFit/>
          </a:bodyPr>
          <a:p>
            <a:pPr algn="l">
              <a:defRPr/>
            </a:pPr>
            <a:r>
              <a:rPr lang="en-US" cap="none" sz="1100" b="0" i="0" u="none" baseline="0">
                <a:solidFill>
                  <a:srgbClr val="000000"/>
                </a:solidFill>
              </a:rPr>
              <a:t>Ta+a</a:t>
            </a:r>
          </a:p>
        </xdr:txBody>
      </xdr:sp>
      <xdr:sp>
        <xdr:nvSpPr>
          <xdr:cNvPr id="52" name="Text Box 60"/>
          <xdr:cNvSpPr txBox="1">
            <a:spLocks noChangeArrowheads="1"/>
          </xdr:cNvSpPr>
        </xdr:nvSpPr>
        <xdr:spPr>
          <a:xfrm>
            <a:off x="105" y="805"/>
            <a:ext cx="23" cy="33"/>
          </a:xfrm>
          <a:prstGeom prst="rect">
            <a:avLst/>
          </a:prstGeom>
          <a:noFill/>
          <a:ln w="0" cmpd="sng">
            <a:noFill/>
          </a:ln>
        </xdr:spPr>
        <xdr:txBody>
          <a:bodyPr vertOverflow="clip" wrap="square" lIns="18288" tIns="18288" rIns="0" bIns="0" vert="vert270">
            <a:spAutoFit/>
          </a:bodyPr>
          <a:p>
            <a:pPr algn="l">
              <a:defRPr/>
            </a:pPr>
            <a:r>
              <a:rPr lang="en-US" cap="none" sz="1100" b="0" i="0" u="none" baseline="0">
                <a:solidFill>
                  <a:srgbClr val="000000"/>
                </a:solidFill>
              </a:rPr>
              <a:t>Ta+a</a:t>
            </a:r>
          </a:p>
        </xdr:txBody>
      </xdr:sp>
      <xdr:sp>
        <xdr:nvSpPr>
          <xdr:cNvPr id="53" name="Text Box 61"/>
          <xdr:cNvSpPr txBox="1">
            <a:spLocks noChangeArrowheads="1"/>
          </xdr:cNvSpPr>
        </xdr:nvSpPr>
        <xdr:spPr>
          <a:xfrm>
            <a:off x="270" y="732"/>
            <a:ext cx="10" cy="20"/>
          </a:xfrm>
          <a:prstGeom prst="rect">
            <a:avLst/>
          </a:prstGeom>
          <a:noFill/>
          <a:ln w="0" cmpd="sng">
            <a:noFill/>
          </a:ln>
        </xdr:spPr>
        <xdr:txBody>
          <a:bodyPr vertOverflow="clip" wrap="square" lIns="18288" tIns="18288" rIns="0" bIns="0">
            <a:spAutoFit/>
          </a:bodyPr>
          <a:p>
            <a:pPr algn="l">
              <a:defRPr/>
            </a:pPr>
            <a:r>
              <a:rPr lang="en-US" cap="none" sz="1100" b="0" i="0" u="none" baseline="0">
                <a:solidFill>
                  <a:srgbClr val="000000"/>
                </a:solidFill>
              </a:rPr>
              <a:t>a</a:t>
            </a:r>
          </a:p>
        </xdr:txBody>
      </xdr:sp>
      <xdr:sp>
        <xdr:nvSpPr>
          <xdr:cNvPr id="54" name="Text Box 62"/>
          <xdr:cNvSpPr txBox="1">
            <a:spLocks noChangeArrowheads="1"/>
          </xdr:cNvSpPr>
        </xdr:nvSpPr>
        <xdr:spPr>
          <a:xfrm>
            <a:off x="175" y="805"/>
            <a:ext cx="24" cy="9"/>
          </a:xfrm>
          <a:prstGeom prst="rect">
            <a:avLst/>
          </a:prstGeom>
          <a:noFill/>
          <a:ln w="0" cmpd="sng">
            <a:noFill/>
          </a:ln>
        </xdr:spPr>
        <xdr:txBody>
          <a:bodyPr vertOverflow="clip" wrap="square" lIns="18288" tIns="18288" rIns="0" bIns="0" vert="vert270">
            <a:spAutoFit/>
          </a:bodyPr>
          <a:p>
            <a:pPr algn="l">
              <a:defRPr/>
            </a:pPr>
            <a:r>
              <a:rPr lang="en-US" cap="none" sz="1100" b="0" i="0" u="none" baseline="0">
                <a:solidFill>
                  <a:srgbClr val="000000"/>
                </a:solidFill>
              </a:rPr>
              <a:t>a</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27</xdr:row>
      <xdr:rowOff>0</xdr:rowOff>
    </xdr:from>
    <xdr:to>
      <xdr:col>16</xdr:col>
      <xdr:colOff>66675</xdr:colOff>
      <xdr:row>50</xdr:row>
      <xdr:rowOff>114300</xdr:rowOff>
    </xdr:to>
    <xdr:grpSp>
      <xdr:nvGrpSpPr>
        <xdr:cNvPr id="1" name="Group 89"/>
        <xdr:cNvGrpSpPr>
          <a:grpSpLocks/>
        </xdr:cNvGrpSpPr>
      </xdr:nvGrpSpPr>
      <xdr:grpSpPr>
        <a:xfrm>
          <a:off x="809625" y="5334000"/>
          <a:ext cx="4895850" cy="3905250"/>
          <a:chOff x="57" y="540"/>
          <a:chExt cx="574" cy="410"/>
        </a:xfrm>
        <a:solidFill>
          <a:srgbClr val="FFFFFF"/>
        </a:solidFill>
      </xdr:grpSpPr>
      <xdr:sp>
        <xdr:nvSpPr>
          <xdr:cNvPr id="2" name="Rectangle 26"/>
          <xdr:cNvSpPr>
            <a:spLocks/>
          </xdr:cNvSpPr>
        </xdr:nvSpPr>
        <xdr:spPr>
          <a:xfrm>
            <a:off x="408" y="811"/>
            <a:ext cx="110" cy="8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0"/>
          <xdr:cNvSpPr>
            <a:spLocks/>
          </xdr:cNvSpPr>
        </xdr:nvSpPr>
        <xdr:spPr>
          <a:xfrm>
            <a:off x="571" y="81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rc 32"/>
          <xdr:cNvSpPr>
            <a:spLocks/>
          </xdr:cNvSpPr>
        </xdr:nvSpPr>
        <xdr:spPr>
          <a:xfrm flipV="1">
            <a:off x="518" y="894"/>
            <a:ext cx="53" cy="44"/>
          </a:xfrm>
          <a:custGeom>
            <a:pathLst>
              <a:path fill="none" h="22688" w="21601">
                <a:moveTo>
                  <a:pt x="0" y="0"/>
                </a:moveTo>
                <a:cubicBezTo>
                  <a:pt x="0" y="0"/>
                  <a:pt x="0" y="-1"/>
                  <a:pt x="1" y="0"/>
                </a:cubicBezTo>
                <a:cubicBezTo>
                  <a:pt x="11930" y="0"/>
                  <a:pt x="21601" y="9670"/>
                  <a:pt x="21601" y="21600"/>
                </a:cubicBezTo>
                <a:cubicBezTo>
                  <a:pt x="21601" y="21962"/>
                  <a:pt x="21591" y="22325"/>
                  <a:pt x="21573" y="22687"/>
                </a:cubicBezTo>
              </a:path>
              <a:path stroke="0" h="22688" w="21601">
                <a:moveTo>
                  <a:pt x="0" y="0"/>
                </a:moveTo>
                <a:cubicBezTo>
                  <a:pt x="0" y="0"/>
                  <a:pt x="0" y="-1"/>
                  <a:pt x="1" y="0"/>
                </a:cubicBezTo>
                <a:cubicBezTo>
                  <a:pt x="11930" y="0"/>
                  <a:pt x="21601" y="9670"/>
                  <a:pt x="21601" y="21600"/>
                </a:cubicBezTo>
                <a:cubicBezTo>
                  <a:pt x="21601" y="21962"/>
                  <a:pt x="21591" y="22325"/>
                  <a:pt x="21573" y="22687"/>
                </a:cubicBezTo>
                <a:lnTo>
                  <a:pt x="1" y="21600"/>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rc 35"/>
          <xdr:cNvSpPr>
            <a:spLocks/>
          </xdr:cNvSpPr>
        </xdr:nvSpPr>
        <xdr:spPr>
          <a:xfrm>
            <a:off x="518" y="768"/>
            <a:ext cx="53" cy="4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36"/>
          <xdr:cNvSpPr>
            <a:spLocks/>
          </xdr:cNvSpPr>
        </xdr:nvSpPr>
        <xdr:spPr>
          <a:xfrm>
            <a:off x="223" y="811"/>
            <a:ext cx="110" cy="8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7"/>
          <xdr:cNvSpPr>
            <a:spLocks/>
          </xdr:cNvSpPr>
        </xdr:nvSpPr>
        <xdr:spPr>
          <a:xfrm flipV="1">
            <a:off x="168" y="729"/>
            <a:ext cx="0" cy="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8"/>
          <xdr:cNvSpPr>
            <a:spLocks/>
          </xdr:cNvSpPr>
        </xdr:nvSpPr>
        <xdr:spPr>
          <a:xfrm flipV="1">
            <a:off x="572" y="728"/>
            <a:ext cx="0" cy="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9"/>
          <xdr:cNvSpPr>
            <a:spLocks/>
          </xdr:cNvSpPr>
        </xdr:nvSpPr>
        <xdr:spPr>
          <a:xfrm flipH="1">
            <a:off x="168" y="737"/>
            <a:ext cx="403"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1"/>
          <xdr:cNvSpPr>
            <a:spLocks/>
          </xdr:cNvSpPr>
        </xdr:nvSpPr>
        <xdr:spPr>
          <a:xfrm flipV="1">
            <a:off x="223" y="783"/>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42"/>
          <xdr:cNvSpPr>
            <a:spLocks/>
          </xdr:cNvSpPr>
        </xdr:nvSpPr>
        <xdr:spPr>
          <a:xfrm flipV="1">
            <a:off x="333" y="784"/>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4"/>
          <xdr:cNvSpPr>
            <a:spLocks/>
          </xdr:cNvSpPr>
        </xdr:nvSpPr>
        <xdr:spPr>
          <a:xfrm flipH="1">
            <a:off x="223" y="792"/>
            <a:ext cx="11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45"/>
          <xdr:cNvSpPr txBox="1">
            <a:spLocks noChangeArrowheads="1"/>
          </xdr:cNvSpPr>
        </xdr:nvSpPr>
        <xdr:spPr>
          <a:xfrm>
            <a:off x="274" y="771"/>
            <a:ext cx="12"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a</a:t>
            </a:r>
          </a:p>
        </xdr:txBody>
      </xdr:sp>
      <xdr:sp>
        <xdr:nvSpPr>
          <xdr:cNvPr id="14" name="Line 46"/>
          <xdr:cNvSpPr>
            <a:spLocks/>
          </xdr:cNvSpPr>
        </xdr:nvSpPr>
        <xdr:spPr>
          <a:xfrm flipH="1">
            <a:off x="114" y="768"/>
            <a:ext cx="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8"/>
          <xdr:cNvSpPr>
            <a:spLocks/>
          </xdr:cNvSpPr>
        </xdr:nvSpPr>
        <xdr:spPr>
          <a:xfrm>
            <a:off x="128" y="768"/>
            <a:ext cx="0" cy="17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9"/>
          <xdr:cNvSpPr>
            <a:spLocks/>
          </xdr:cNvSpPr>
        </xdr:nvSpPr>
        <xdr:spPr>
          <a:xfrm flipH="1">
            <a:off x="188" y="894"/>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50"/>
          <xdr:cNvSpPr>
            <a:spLocks/>
          </xdr:cNvSpPr>
        </xdr:nvSpPr>
        <xdr:spPr>
          <a:xfrm flipH="1">
            <a:off x="187" y="81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 Box 52"/>
          <xdr:cNvSpPr txBox="1">
            <a:spLocks noChangeArrowheads="1"/>
          </xdr:cNvSpPr>
        </xdr:nvSpPr>
        <xdr:spPr>
          <a:xfrm>
            <a:off x="174" y="844"/>
            <a:ext cx="25" cy="11"/>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a</a:t>
            </a:r>
          </a:p>
        </xdr:txBody>
      </xdr:sp>
      <xdr:sp>
        <xdr:nvSpPr>
          <xdr:cNvPr id="19" name="Line 53"/>
          <xdr:cNvSpPr>
            <a:spLocks/>
          </xdr:cNvSpPr>
        </xdr:nvSpPr>
        <xdr:spPr>
          <a:xfrm>
            <a:off x="198" y="811"/>
            <a:ext cx="0" cy="82"/>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54"/>
          <xdr:cNvSpPr>
            <a:spLocks/>
          </xdr:cNvSpPr>
        </xdr:nvSpPr>
        <xdr:spPr>
          <a:xfrm>
            <a:off x="222" y="768"/>
            <a:ext cx="2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55"/>
          <xdr:cNvSpPr>
            <a:spLocks/>
          </xdr:cNvSpPr>
        </xdr:nvSpPr>
        <xdr:spPr>
          <a:xfrm>
            <a:off x="222" y="938"/>
            <a:ext cx="2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57"/>
          <xdr:cNvSpPr>
            <a:spLocks/>
          </xdr:cNvSpPr>
        </xdr:nvSpPr>
        <xdr:spPr>
          <a:xfrm>
            <a:off x="168" y="81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59"/>
          <xdr:cNvSpPr>
            <a:spLocks/>
          </xdr:cNvSpPr>
        </xdr:nvSpPr>
        <xdr:spPr>
          <a:xfrm flipH="1" flipV="1">
            <a:off x="168" y="893"/>
            <a:ext cx="54" cy="4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rc 60"/>
          <xdr:cNvSpPr>
            <a:spLocks/>
          </xdr:cNvSpPr>
        </xdr:nvSpPr>
        <xdr:spPr>
          <a:xfrm flipH="1">
            <a:off x="168" y="768"/>
            <a:ext cx="54" cy="4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2"/>
          <xdr:cNvSpPr>
            <a:spLocks/>
          </xdr:cNvSpPr>
        </xdr:nvSpPr>
        <xdr:spPr>
          <a:xfrm>
            <a:off x="115" y="938"/>
            <a:ext cx="45"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3"/>
          <xdr:cNvSpPr>
            <a:spLocks/>
          </xdr:cNvSpPr>
        </xdr:nvSpPr>
        <xdr:spPr>
          <a:xfrm>
            <a:off x="114" y="938"/>
            <a:ext cx="51"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64"/>
          <xdr:cNvSpPr>
            <a:spLocks/>
          </xdr:cNvSpPr>
        </xdr:nvSpPr>
        <xdr:spPr>
          <a:xfrm>
            <a:off x="74" y="950"/>
            <a:ext cx="0" cy="0"/>
          </a:xfrm>
          <a:prstGeom prst="line">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5"/>
          <xdr:cNvSpPr>
            <a:spLocks/>
          </xdr:cNvSpPr>
        </xdr:nvSpPr>
        <xdr:spPr>
          <a:xfrm flipV="1">
            <a:off x="115" y="938"/>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76"/>
          <xdr:cNvSpPr txBox="1">
            <a:spLocks noChangeArrowheads="1"/>
          </xdr:cNvSpPr>
        </xdr:nvSpPr>
        <xdr:spPr>
          <a:xfrm>
            <a:off x="341" y="715"/>
            <a:ext cx="59"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Ta+C+a</a:t>
            </a:r>
          </a:p>
        </xdr:txBody>
      </xdr:sp>
      <xdr:sp>
        <xdr:nvSpPr>
          <xdr:cNvPr id="30" name="Text Box 77"/>
          <xdr:cNvSpPr txBox="1">
            <a:spLocks noChangeArrowheads="1"/>
          </xdr:cNvSpPr>
        </xdr:nvSpPr>
        <xdr:spPr>
          <a:xfrm>
            <a:off x="102" y="837"/>
            <a:ext cx="24" cy="35"/>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Ta+a</a:t>
            </a:r>
          </a:p>
        </xdr:txBody>
      </xdr:sp>
      <xdr:grpSp>
        <xdr:nvGrpSpPr>
          <xdr:cNvPr id="31" name="Group 87"/>
          <xdr:cNvGrpSpPr>
            <a:grpSpLocks/>
          </xdr:cNvGrpSpPr>
        </xdr:nvGrpSpPr>
        <xdr:grpSpPr>
          <a:xfrm>
            <a:off x="57" y="540"/>
            <a:ext cx="574" cy="161"/>
            <a:chOff x="57" y="540"/>
            <a:chExt cx="574" cy="161"/>
          </a:xfrm>
          <a:solidFill>
            <a:srgbClr val="FFFFFF"/>
          </a:solidFill>
        </xdr:grpSpPr>
        <xdr:sp>
          <xdr:nvSpPr>
            <xdr:cNvPr id="32" name="Line 1"/>
            <xdr:cNvSpPr>
              <a:spLocks/>
            </xdr:cNvSpPr>
          </xdr:nvSpPr>
          <xdr:spPr>
            <a:xfrm>
              <a:off x="95" y="615"/>
              <a:ext cx="3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
            <xdr:cNvSpPr>
              <a:spLocks/>
            </xdr:cNvSpPr>
          </xdr:nvSpPr>
          <xdr:spPr>
            <a:xfrm>
              <a:off x="95" y="700"/>
              <a:ext cx="3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3"/>
            <xdr:cNvSpPr>
              <a:spLocks/>
            </xdr:cNvSpPr>
          </xdr:nvSpPr>
          <xdr:spPr>
            <a:xfrm>
              <a:off x="222" y="607"/>
              <a:ext cx="111" cy="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4"/>
            <xdr:cNvSpPr>
              <a:spLocks/>
            </xdr:cNvSpPr>
          </xdr:nvSpPr>
          <xdr:spPr>
            <a:xfrm flipH="1">
              <a:off x="114" y="615"/>
              <a:ext cx="108" cy="8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5"/>
            <xdr:cNvSpPr>
              <a:spLocks/>
            </xdr:cNvSpPr>
          </xdr:nvSpPr>
          <xdr:spPr>
            <a:xfrm>
              <a:off x="333" y="615"/>
              <a:ext cx="122" cy="8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6"/>
            <xdr:cNvSpPr>
              <a:spLocks/>
            </xdr:cNvSpPr>
          </xdr:nvSpPr>
          <xdr:spPr>
            <a:xfrm flipH="1">
              <a:off x="74" y="61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7"/>
            <xdr:cNvSpPr>
              <a:spLocks/>
            </xdr:cNvSpPr>
          </xdr:nvSpPr>
          <xdr:spPr>
            <a:xfrm flipH="1">
              <a:off x="74" y="700"/>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8"/>
            <xdr:cNvSpPr>
              <a:spLocks/>
            </xdr:cNvSpPr>
          </xdr:nvSpPr>
          <xdr:spPr>
            <a:xfrm flipV="1">
              <a:off x="80" y="615"/>
              <a:ext cx="0" cy="8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0"/>
            <xdr:cNvSpPr>
              <a:spLocks/>
            </xdr:cNvSpPr>
          </xdr:nvSpPr>
          <xdr:spPr>
            <a:xfrm flipV="1">
              <a:off x="222" y="571"/>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1"/>
            <xdr:cNvSpPr>
              <a:spLocks/>
            </xdr:cNvSpPr>
          </xdr:nvSpPr>
          <xdr:spPr>
            <a:xfrm flipV="1">
              <a:off x="333" y="572"/>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2"/>
            <xdr:cNvSpPr>
              <a:spLocks/>
            </xdr:cNvSpPr>
          </xdr:nvSpPr>
          <xdr:spPr>
            <a:xfrm flipH="1">
              <a:off x="222" y="582"/>
              <a:ext cx="111"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4"/>
            <xdr:cNvSpPr>
              <a:spLocks/>
            </xdr:cNvSpPr>
          </xdr:nvSpPr>
          <xdr:spPr>
            <a:xfrm flipV="1">
              <a:off x="166" y="615"/>
              <a:ext cx="0" cy="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5"/>
            <xdr:cNvSpPr>
              <a:spLocks/>
            </xdr:cNvSpPr>
          </xdr:nvSpPr>
          <xdr:spPr>
            <a:xfrm>
              <a:off x="354" y="615"/>
              <a:ext cx="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6"/>
            <xdr:cNvSpPr>
              <a:spLocks/>
            </xdr:cNvSpPr>
          </xdr:nvSpPr>
          <xdr:spPr>
            <a:xfrm>
              <a:off x="354" y="700"/>
              <a:ext cx="2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17"/>
            <xdr:cNvSpPr>
              <a:spLocks/>
            </xdr:cNvSpPr>
          </xdr:nvSpPr>
          <xdr:spPr>
            <a:xfrm>
              <a:off x="407" y="607"/>
              <a:ext cx="111" cy="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8"/>
            <xdr:cNvSpPr>
              <a:spLocks/>
            </xdr:cNvSpPr>
          </xdr:nvSpPr>
          <xdr:spPr>
            <a:xfrm flipH="1">
              <a:off x="296" y="615"/>
              <a:ext cx="111" cy="8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9"/>
            <xdr:cNvSpPr>
              <a:spLocks/>
            </xdr:cNvSpPr>
          </xdr:nvSpPr>
          <xdr:spPr>
            <a:xfrm>
              <a:off x="519" y="615"/>
              <a:ext cx="107" cy="8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20"/>
            <xdr:cNvSpPr>
              <a:spLocks/>
            </xdr:cNvSpPr>
          </xdr:nvSpPr>
          <xdr:spPr>
            <a:xfrm flipH="1">
              <a:off x="333" y="61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21"/>
            <xdr:cNvSpPr>
              <a:spLocks/>
            </xdr:cNvSpPr>
          </xdr:nvSpPr>
          <xdr:spPr>
            <a:xfrm flipH="1">
              <a:off x="333" y="700"/>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22"/>
            <xdr:cNvSpPr>
              <a:spLocks/>
            </xdr:cNvSpPr>
          </xdr:nvSpPr>
          <xdr:spPr>
            <a:xfrm flipV="1">
              <a:off x="407" y="572"/>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23"/>
            <xdr:cNvSpPr>
              <a:spLocks/>
            </xdr:cNvSpPr>
          </xdr:nvSpPr>
          <xdr:spPr>
            <a:xfrm flipV="1">
              <a:off x="518" y="572"/>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25"/>
            <xdr:cNvSpPr>
              <a:spLocks/>
            </xdr:cNvSpPr>
          </xdr:nvSpPr>
          <xdr:spPr>
            <a:xfrm>
              <a:off x="407" y="582"/>
              <a:ext cx="108"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27"/>
            <xdr:cNvSpPr>
              <a:spLocks/>
            </xdr:cNvSpPr>
          </xdr:nvSpPr>
          <xdr:spPr>
            <a:xfrm flipV="1">
              <a:off x="573" y="615"/>
              <a:ext cx="0" cy="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66"/>
            <xdr:cNvSpPr>
              <a:spLocks/>
            </xdr:cNvSpPr>
          </xdr:nvSpPr>
          <xdr:spPr>
            <a:xfrm flipH="1">
              <a:off x="166" y="582"/>
              <a:ext cx="53"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67"/>
            <xdr:cNvSpPr>
              <a:spLocks/>
            </xdr:cNvSpPr>
          </xdr:nvSpPr>
          <xdr:spPr>
            <a:xfrm flipV="1">
              <a:off x="166" y="574"/>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68"/>
            <xdr:cNvSpPr>
              <a:spLocks/>
            </xdr:cNvSpPr>
          </xdr:nvSpPr>
          <xdr:spPr>
            <a:xfrm flipH="1">
              <a:off x="518" y="582"/>
              <a:ext cx="54"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69"/>
            <xdr:cNvSpPr>
              <a:spLocks/>
            </xdr:cNvSpPr>
          </xdr:nvSpPr>
          <xdr:spPr>
            <a:xfrm flipV="1">
              <a:off x="573" y="574"/>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Text Box 72"/>
            <xdr:cNvSpPr txBox="1">
              <a:spLocks noChangeArrowheads="1"/>
            </xdr:cNvSpPr>
          </xdr:nvSpPr>
          <xdr:spPr>
            <a:xfrm>
              <a:off x="274" y="560"/>
              <a:ext cx="12"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a</a:t>
              </a:r>
            </a:p>
          </xdr:txBody>
        </xdr:sp>
        <xdr:sp>
          <xdr:nvSpPr>
            <xdr:cNvPr id="60" name="Text Box 73"/>
            <xdr:cNvSpPr txBox="1">
              <a:spLocks noChangeArrowheads="1"/>
            </xdr:cNvSpPr>
          </xdr:nvSpPr>
          <xdr:spPr>
            <a:xfrm>
              <a:off x="179" y="560"/>
              <a:ext cx="40"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Ta/2</a:t>
              </a:r>
            </a:p>
          </xdr:txBody>
        </xdr:sp>
        <xdr:sp>
          <xdr:nvSpPr>
            <xdr:cNvPr id="61" name="Text Box 74"/>
            <xdr:cNvSpPr txBox="1">
              <a:spLocks noChangeArrowheads="1"/>
            </xdr:cNvSpPr>
          </xdr:nvSpPr>
          <xdr:spPr>
            <a:xfrm>
              <a:off x="457" y="560"/>
              <a:ext cx="12"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a</a:t>
              </a:r>
            </a:p>
          </xdr:txBody>
        </xdr:sp>
        <xdr:sp>
          <xdr:nvSpPr>
            <xdr:cNvPr id="62" name="Text Box 75"/>
            <xdr:cNvSpPr txBox="1">
              <a:spLocks noChangeArrowheads="1"/>
            </xdr:cNvSpPr>
          </xdr:nvSpPr>
          <xdr:spPr>
            <a:xfrm>
              <a:off x="534" y="560"/>
              <a:ext cx="40" cy="22"/>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Ta/2</a:t>
              </a:r>
            </a:p>
          </xdr:txBody>
        </xdr:sp>
        <xdr:sp>
          <xdr:nvSpPr>
            <xdr:cNvPr id="63" name="Text Box 79"/>
            <xdr:cNvSpPr txBox="1">
              <a:spLocks noChangeArrowheads="1"/>
            </xdr:cNvSpPr>
          </xdr:nvSpPr>
          <xdr:spPr>
            <a:xfrm>
              <a:off x="57" y="649"/>
              <a:ext cx="25" cy="20"/>
            </a:xfrm>
            <a:prstGeom prst="rect">
              <a:avLst/>
            </a:prstGeom>
            <a:noFill/>
            <a:ln w="0" cmpd="sng">
              <a:noFill/>
            </a:ln>
          </xdr:spPr>
          <xdr:txBody>
            <a:bodyPr vertOverflow="clip" wrap="square" lIns="18288" tIns="18288" rIns="18288" bIns="18288" anchor="ctr" vert="vert270">
              <a:spAutoFit/>
            </a:bodyPr>
            <a:p>
              <a:pPr algn="ctr">
                <a:defRPr/>
              </a:pPr>
              <a:r>
                <a:rPr lang="en-US" cap="none" sz="1100" b="0" i="0" u="none" baseline="0">
                  <a:solidFill>
                    <a:srgbClr val="000000"/>
                  </a:solidFill>
                </a:rPr>
                <a:t>Ta</a:t>
              </a:r>
            </a:p>
          </xdr:txBody>
        </xdr:sp>
        <xdr:sp>
          <xdr:nvSpPr>
            <xdr:cNvPr id="64" name="Line 83"/>
            <xdr:cNvSpPr>
              <a:spLocks/>
            </xdr:cNvSpPr>
          </xdr:nvSpPr>
          <xdr:spPr>
            <a:xfrm flipV="1">
              <a:off x="275" y="540"/>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4"/>
            <xdr:cNvSpPr>
              <a:spLocks/>
            </xdr:cNvSpPr>
          </xdr:nvSpPr>
          <xdr:spPr>
            <a:xfrm flipV="1">
              <a:off x="459" y="540"/>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5"/>
            <xdr:cNvSpPr>
              <a:spLocks/>
            </xdr:cNvSpPr>
          </xdr:nvSpPr>
          <xdr:spPr>
            <a:xfrm flipH="1">
              <a:off x="275" y="540"/>
              <a:ext cx="184"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Text Box 86"/>
            <xdr:cNvSpPr txBox="1">
              <a:spLocks noChangeArrowheads="1"/>
            </xdr:cNvSpPr>
          </xdr:nvSpPr>
          <xdr:spPr>
            <a:xfrm>
              <a:off x="362" y="517"/>
              <a:ext cx="16" cy="23"/>
            </a:xfrm>
            <a:prstGeom prst="rect">
              <a:avLst/>
            </a:prstGeom>
            <a:noFill/>
            <a:ln w="0" cmpd="sng">
              <a:noFill/>
            </a:ln>
          </xdr:spPr>
          <xdr:txBody>
            <a:bodyPr vertOverflow="clip" wrap="square" lIns="18288" tIns="18288" rIns="18288" bIns="18288" anchor="ctr">
              <a:spAutoFit/>
            </a:bodyPr>
            <a:p>
              <a:pPr algn="ctr">
                <a:defRPr/>
              </a:pPr>
              <a:r>
                <a:rPr lang="en-US" cap="none" sz="1100" b="0" i="0" u="none" baseline="0">
                  <a:solidFill>
                    <a:srgbClr val="000000"/>
                  </a:solidFill>
                </a:rPr>
                <a:t>C</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U62"/>
  <sheetViews>
    <sheetView tabSelected="1" zoomScale="75" zoomScaleNormal="75" zoomScalePageLayoutView="0" workbookViewId="0" topLeftCell="A1">
      <pane ySplit="1" topLeftCell="A2" activePane="bottomLeft" state="frozen"/>
      <selection pane="topLeft" activeCell="A1" sqref="A1"/>
      <selection pane="bottomLeft" activeCell="O49" sqref="O49"/>
    </sheetView>
  </sheetViews>
  <sheetFormatPr defaultColWidth="9.00390625" defaultRowHeight="13.5"/>
  <cols>
    <col min="1" max="5" width="10.625" style="56" customWidth="1"/>
    <col min="6" max="16" width="10.75390625" style="56" customWidth="1"/>
    <col min="17" max="17" width="7.25390625" style="56" customWidth="1"/>
    <col min="18" max="83" width="7.25390625" style="56" hidden="1" customWidth="1"/>
    <col min="84" max="84" width="7.25390625" style="56" customWidth="1"/>
    <col min="85" max="16384" width="9.00390625" style="56" customWidth="1"/>
  </cols>
  <sheetData>
    <row r="1" spans="1:66" s="9" customFormat="1" ht="18.75" customHeight="1">
      <c r="A1" s="407" t="s">
        <v>130</v>
      </c>
      <c r="B1" s="407"/>
      <c r="C1" s="407"/>
      <c r="D1" s="407"/>
      <c r="E1" s="407"/>
      <c r="F1" s="407"/>
      <c r="G1" s="407"/>
      <c r="H1" s="407"/>
      <c r="I1" s="407"/>
      <c r="J1" s="407"/>
      <c r="K1" s="407"/>
      <c r="L1" s="390" t="s">
        <v>131</v>
      </c>
      <c r="M1" s="391"/>
      <c r="N1" s="391"/>
      <c r="O1" s="391"/>
      <c r="P1" s="392"/>
      <c r="R1" s="9" t="s">
        <v>98</v>
      </c>
      <c r="AF1" s="9" t="s">
        <v>104</v>
      </c>
      <c r="AY1" s="9" t="s">
        <v>243</v>
      </c>
      <c r="BA1" s="399" t="s">
        <v>434</v>
      </c>
      <c r="BB1" s="399"/>
      <c r="BC1" s="399"/>
      <c r="BD1" s="399"/>
      <c r="BE1" s="399"/>
      <c r="BF1" s="399"/>
      <c r="BG1" s="399"/>
      <c r="BH1" s="399"/>
      <c r="BI1" s="399"/>
      <c r="BJ1" s="399"/>
      <c r="BK1" s="399"/>
      <c r="BL1" s="399"/>
      <c r="BM1" s="399"/>
      <c r="BN1" s="399"/>
    </row>
    <row r="2" spans="1:83" s="6" customFormat="1" ht="13.5">
      <c r="A2" s="134" t="s">
        <v>135</v>
      </c>
      <c r="B2" s="409" t="str">
        <f>CONCATENATE(IF(D5="一般型","","Ｇ"),ｹｰﾌﾞﾙﾀｲﾌﾟ,"kN","タイプ")</f>
        <v>1000kNタイプ</v>
      </c>
      <c r="C2" s="409"/>
      <c r="D2" s="409"/>
      <c r="E2" s="285"/>
      <c r="F2" s="406" t="s">
        <v>242</v>
      </c>
      <c r="G2" s="406"/>
      <c r="H2" s="148" t="s">
        <v>76</v>
      </c>
      <c r="I2" s="279" t="s">
        <v>82</v>
      </c>
      <c r="J2" s="36"/>
      <c r="K2" s="37"/>
      <c r="L2" s="276"/>
      <c r="M2" s="277"/>
      <c r="N2" s="277"/>
      <c r="O2" s="82" t="s">
        <v>132</v>
      </c>
      <c r="P2" s="83" t="s">
        <v>133</v>
      </c>
      <c r="Q2" s="9"/>
      <c r="R2" s="1" t="s">
        <v>53</v>
      </c>
      <c r="S2" s="1" t="s">
        <v>517</v>
      </c>
      <c r="T2" s="1" t="s">
        <v>518</v>
      </c>
      <c r="U2" s="1" t="s">
        <v>54</v>
      </c>
      <c r="V2" s="1" t="s">
        <v>55</v>
      </c>
      <c r="W2" s="1" t="s">
        <v>56</v>
      </c>
      <c r="X2" s="1" t="s">
        <v>97</v>
      </c>
      <c r="Y2" s="1" t="s">
        <v>99</v>
      </c>
      <c r="Z2" s="1" t="s">
        <v>101</v>
      </c>
      <c r="AA2" s="1" t="s">
        <v>100</v>
      </c>
      <c r="AB2" s="1" t="s">
        <v>102</v>
      </c>
      <c r="AC2" s="1" t="s">
        <v>229</v>
      </c>
      <c r="AD2" s="1" t="s">
        <v>103</v>
      </c>
      <c r="AE2" s="1" t="s">
        <v>134</v>
      </c>
      <c r="AF2" s="18"/>
      <c r="AG2" s="1" t="s">
        <v>257</v>
      </c>
      <c r="AH2" s="1" t="s">
        <v>258</v>
      </c>
      <c r="AI2" s="1" t="s">
        <v>259</v>
      </c>
      <c r="AJ2" s="1" t="s">
        <v>254</v>
      </c>
      <c r="AK2" s="1" t="s">
        <v>255</v>
      </c>
      <c r="AL2" s="1" t="s">
        <v>256</v>
      </c>
      <c r="AM2" s="1" t="s">
        <v>251</v>
      </c>
      <c r="AN2" s="1" t="s">
        <v>252</v>
      </c>
      <c r="AO2" s="1" t="s">
        <v>253</v>
      </c>
      <c r="AP2" s="1" t="s">
        <v>260</v>
      </c>
      <c r="AQ2" s="1" t="s">
        <v>236</v>
      </c>
      <c r="AR2" s="1" t="s">
        <v>261</v>
      </c>
      <c r="AS2" s="1" t="s">
        <v>237</v>
      </c>
      <c r="AT2" s="1" t="s">
        <v>53</v>
      </c>
      <c r="AU2" s="107"/>
      <c r="AV2" s="1" t="s">
        <v>285</v>
      </c>
      <c r="AW2" s="1" t="s">
        <v>280</v>
      </c>
      <c r="AX2" s="1" t="s">
        <v>281</v>
      </c>
      <c r="AY2" s="116" t="s">
        <v>282</v>
      </c>
      <c r="AZ2" s="116" t="s">
        <v>263</v>
      </c>
      <c r="BA2" s="116" t="s">
        <v>279</v>
      </c>
      <c r="BB2" s="116" t="s">
        <v>264</v>
      </c>
      <c r="BC2" s="116" t="s">
        <v>265</v>
      </c>
      <c r="BD2" s="116" t="s">
        <v>266</v>
      </c>
      <c r="BE2" s="116" t="s">
        <v>267</v>
      </c>
      <c r="BF2" s="116" t="s">
        <v>268</v>
      </c>
      <c r="BG2" s="116" t="s">
        <v>269</v>
      </c>
      <c r="BH2" s="116" t="s">
        <v>270</v>
      </c>
      <c r="BI2" s="116" t="s">
        <v>271</v>
      </c>
      <c r="BJ2" s="116" t="s">
        <v>272</v>
      </c>
      <c r="BK2" s="116" t="s">
        <v>273</v>
      </c>
      <c r="BL2" s="116" t="s">
        <v>274</v>
      </c>
      <c r="BM2" s="116" t="s">
        <v>275</v>
      </c>
      <c r="BN2" s="116" t="s">
        <v>276</v>
      </c>
      <c r="BO2" s="116" t="s">
        <v>277</v>
      </c>
      <c r="BP2" s="116" t="s">
        <v>278</v>
      </c>
      <c r="BQ2" s="116" t="s">
        <v>435</v>
      </c>
      <c r="BR2" s="180" t="s">
        <v>436</v>
      </c>
      <c r="BS2" s="180" t="s">
        <v>437</v>
      </c>
      <c r="BT2" s="180" t="s">
        <v>438</v>
      </c>
      <c r="BU2" s="180" t="s">
        <v>439</v>
      </c>
      <c r="BV2" s="180" t="s">
        <v>440</v>
      </c>
      <c r="BW2" s="180" t="s">
        <v>441</v>
      </c>
      <c r="BX2" s="180" t="s">
        <v>442</v>
      </c>
      <c r="BY2" s="180" t="s">
        <v>443</v>
      </c>
      <c r="BZ2" s="180" t="s">
        <v>444</v>
      </c>
      <c r="CA2" s="180" t="s">
        <v>445</v>
      </c>
      <c r="CB2" s="116" t="s">
        <v>446</v>
      </c>
      <c r="CC2" s="116" t="s">
        <v>447</v>
      </c>
      <c r="CD2" s="116" t="s">
        <v>448</v>
      </c>
      <c r="CE2" s="1" t="s">
        <v>53</v>
      </c>
    </row>
    <row r="3" spans="1:83" s="14" customFormat="1" ht="17.25">
      <c r="A3" s="35"/>
      <c r="B3" s="36"/>
      <c r="C3" s="36"/>
      <c r="D3" s="36"/>
      <c r="E3" s="37"/>
      <c r="F3" s="399" t="s">
        <v>243</v>
      </c>
      <c r="G3" s="399"/>
      <c r="H3" s="408" t="s">
        <v>680</v>
      </c>
      <c r="I3" s="408"/>
      <c r="J3" s="33">
        <f>ROUNDUP(P/Y32/1.5,0)</f>
        <v>13</v>
      </c>
      <c r="K3" s="31" t="s">
        <v>96</v>
      </c>
      <c r="L3" s="134" t="s">
        <v>139</v>
      </c>
      <c r="M3" s="135"/>
      <c r="N3" s="135"/>
      <c r="O3" s="136">
        <f>D6*1.5/D7</f>
        <v>888</v>
      </c>
      <c r="P3" s="48" t="str">
        <f>'設計方針'!O22</f>
        <v>ＯＫ</v>
      </c>
      <c r="R3" s="104">
        <v>180</v>
      </c>
      <c r="S3" s="60" t="s">
        <v>466</v>
      </c>
      <c r="T3" s="60" t="s">
        <v>494</v>
      </c>
      <c r="U3" s="60">
        <v>183</v>
      </c>
      <c r="V3" s="60">
        <v>156</v>
      </c>
      <c r="W3" s="60">
        <v>98.7</v>
      </c>
      <c r="X3" s="60">
        <v>82</v>
      </c>
      <c r="Y3" s="60">
        <v>110</v>
      </c>
      <c r="Z3" s="61">
        <v>9</v>
      </c>
      <c r="AA3" s="60">
        <v>45</v>
      </c>
      <c r="AB3" s="62">
        <v>7</v>
      </c>
      <c r="AC3" s="95">
        <v>100</v>
      </c>
      <c r="AD3" s="63">
        <v>76</v>
      </c>
      <c r="AE3" s="60">
        <v>150</v>
      </c>
      <c r="AF3" s="56"/>
      <c r="AG3" s="296">
        <f>ROUNDUP(MAX(Y3+AJ3*2,AI3+30),-1)</f>
        <v>210</v>
      </c>
      <c r="AH3" s="60">
        <v>270</v>
      </c>
      <c r="AI3" s="60">
        <v>174</v>
      </c>
      <c r="AJ3" s="60">
        <f>MAX(22,Z3)</f>
        <v>22</v>
      </c>
      <c r="AK3" s="60">
        <v>22</v>
      </c>
      <c r="AL3" s="60">
        <v>22</v>
      </c>
      <c r="AM3" s="60">
        <f>ROUNDUP(MAX(AI3+AL3*2+90+40,AI3+AL3*2+AR3*2),-1)</f>
        <v>350</v>
      </c>
      <c r="AN3" s="60">
        <f>AH3+40</f>
        <v>310</v>
      </c>
      <c r="AO3" s="61">
        <v>100</v>
      </c>
      <c r="AP3" s="27">
        <v>0</v>
      </c>
      <c r="AQ3" s="27">
        <v>0</v>
      </c>
      <c r="AR3" s="27">
        <v>0</v>
      </c>
      <c r="AS3" s="27">
        <v>0</v>
      </c>
      <c r="AT3" s="104">
        <v>180</v>
      </c>
      <c r="AU3" s="108"/>
      <c r="AV3" s="117"/>
      <c r="AW3" s="117">
        <f>ROUNDUP((AI3-90)/75,0)</f>
        <v>2</v>
      </c>
      <c r="AX3" s="117">
        <f aca="true" t="shared" si="0" ref="AX3:AX20">ROUNDUP((AM3+40-AI3-AL3*2-90-80)/2/75,0)</f>
        <v>1</v>
      </c>
      <c r="AY3" s="118">
        <f>ROUNDUP((AM3+40-80-AL3*2-45*4)/75+2,0)</f>
        <v>4</v>
      </c>
      <c r="AZ3" s="115">
        <f aca="true" t="shared" si="1" ref="AZ3:AZ20">ROUNDUP(V3*1000/$Y$32/1.5,0)</f>
        <v>2167</v>
      </c>
      <c r="BA3" s="115">
        <f>SUM(BB3:BP3)</f>
        <v>11</v>
      </c>
      <c r="BB3" s="287">
        <v>3</v>
      </c>
      <c r="BC3" s="287">
        <v>2</v>
      </c>
      <c r="BD3" s="287">
        <v>2</v>
      </c>
      <c r="BE3" s="287">
        <v>0</v>
      </c>
      <c r="BF3" s="287">
        <v>4</v>
      </c>
      <c r="BG3" s="287"/>
      <c r="BH3" s="287"/>
      <c r="BI3" s="287"/>
      <c r="BJ3" s="287"/>
      <c r="BK3" s="287"/>
      <c r="BL3" s="287"/>
      <c r="BM3" s="287"/>
      <c r="BN3" s="287"/>
      <c r="BO3" s="287"/>
      <c r="BP3" s="287"/>
      <c r="BQ3" s="287">
        <v>125</v>
      </c>
      <c r="BR3" s="287">
        <v>125</v>
      </c>
      <c r="BS3" s="287">
        <v>80</v>
      </c>
      <c r="BT3" s="365">
        <v>80</v>
      </c>
      <c r="BU3" s="287">
        <v>0</v>
      </c>
      <c r="BV3" s="287"/>
      <c r="BW3" s="287"/>
      <c r="BX3" s="287"/>
      <c r="BY3" s="287"/>
      <c r="BZ3" s="287"/>
      <c r="CA3" s="287"/>
      <c r="CB3" s="287"/>
      <c r="CC3" s="287"/>
      <c r="CD3" s="287"/>
      <c r="CE3" s="104">
        <v>180</v>
      </c>
    </row>
    <row r="4" spans="1:83" s="14" customFormat="1" ht="15.75">
      <c r="A4" s="35" t="s">
        <v>140</v>
      </c>
      <c r="B4" s="36"/>
      <c r="C4" s="36"/>
      <c r="D4" s="36"/>
      <c r="E4" s="37"/>
      <c r="F4" s="282" t="s">
        <v>136</v>
      </c>
      <c r="G4" s="58" t="s">
        <v>137</v>
      </c>
      <c r="H4" s="59" t="s">
        <v>138</v>
      </c>
      <c r="I4" s="43" t="s">
        <v>57</v>
      </c>
      <c r="J4" s="43" t="s">
        <v>58</v>
      </c>
      <c r="K4" s="43" t="s">
        <v>59</v>
      </c>
      <c r="L4" s="7"/>
      <c r="M4" s="8"/>
      <c r="N4" s="8"/>
      <c r="O4" s="11"/>
      <c r="P4" s="49"/>
      <c r="R4" s="104">
        <v>260</v>
      </c>
      <c r="S4" s="60" t="s">
        <v>467</v>
      </c>
      <c r="T4" s="60" t="s">
        <v>495</v>
      </c>
      <c r="U4" s="60">
        <v>261</v>
      </c>
      <c r="V4" s="60">
        <v>222</v>
      </c>
      <c r="W4" s="60">
        <v>138.7</v>
      </c>
      <c r="X4" s="60">
        <v>82</v>
      </c>
      <c r="Y4" s="60">
        <v>155</v>
      </c>
      <c r="Z4" s="61">
        <v>9</v>
      </c>
      <c r="AA4" s="60">
        <v>45</v>
      </c>
      <c r="AB4" s="62">
        <v>7</v>
      </c>
      <c r="AC4" s="95">
        <v>110</v>
      </c>
      <c r="AD4" s="63">
        <v>76</v>
      </c>
      <c r="AE4" s="60">
        <v>195</v>
      </c>
      <c r="AF4" s="56"/>
      <c r="AG4" s="60">
        <f aca="true" t="shared" si="2" ref="AG4:AG20">ROUNDDOWN(Y4+AJ4*2,-1)</f>
        <v>190</v>
      </c>
      <c r="AH4" s="60">
        <v>270</v>
      </c>
      <c r="AI4" s="60">
        <v>174</v>
      </c>
      <c r="AJ4" s="60">
        <f aca="true" t="shared" si="3" ref="AJ4:AJ16">MAX(22,Z4)</f>
        <v>22</v>
      </c>
      <c r="AK4" s="60">
        <v>22</v>
      </c>
      <c r="AL4" s="60">
        <v>22</v>
      </c>
      <c r="AM4" s="60">
        <v>400</v>
      </c>
      <c r="AN4" s="60">
        <f aca="true" t="shared" si="4" ref="AN4:AN20">AH4+40</f>
        <v>310</v>
      </c>
      <c r="AO4" s="61">
        <v>100</v>
      </c>
      <c r="AP4" s="27">
        <v>0</v>
      </c>
      <c r="AQ4" s="27">
        <v>0</v>
      </c>
      <c r="AR4" s="27">
        <v>0</v>
      </c>
      <c r="AS4" s="27">
        <v>0</v>
      </c>
      <c r="AT4" s="104">
        <v>260</v>
      </c>
      <c r="AU4" s="108"/>
      <c r="AV4" s="117"/>
      <c r="AW4" s="117">
        <f aca="true" t="shared" si="5" ref="AW4:AW20">ROUNDUP((AI4-90)/75,0)</f>
        <v>2</v>
      </c>
      <c r="AX4" s="117">
        <f t="shared" si="0"/>
        <v>1</v>
      </c>
      <c r="AY4" s="118">
        <f>ROUNDUP((AM4+40-80-AL4*2-45*4)/75+2,0)</f>
        <v>4</v>
      </c>
      <c r="AZ4" s="115">
        <f t="shared" si="1"/>
        <v>3084</v>
      </c>
      <c r="BA4" s="115">
        <f aca="true" t="shared" si="6" ref="BA4:BA20">SUM(BB4:BP4)</f>
        <v>11</v>
      </c>
      <c r="BB4" s="287">
        <v>3</v>
      </c>
      <c r="BC4" s="287">
        <v>2</v>
      </c>
      <c r="BD4" s="287">
        <v>2</v>
      </c>
      <c r="BE4" s="287">
        <v>0</v>
      </c>
      <c r="BF4" s="287">
        <v>4</v>
      </c>
      <c r="BG4" s="287"/>
      <c r="BH4" s="287"/>
      <c r="BI4" s="287"/>
      <c r="BJ4" s="287"/>
      <c r="BK4" s="287"/>
      <c r="BL4" s="287"/>
      <c r="BM4" s="287"/>
      <c r="BN4" s="287"/>
      <c r="BO4" s="287"/>
      <c r="BP4" s="287"/>
      <c r="BQ4" s="287">
        <v>125</v>
      </c>
      <c r="BR4" s="287">
        <v>125</v>
      </c>
      <c r="BS4" s="287">
        <v>80</v>
      </c>
      <c r="BT4" s="365">
        <v>80</v>
      </c>
      <c r="BU4" s="287">
        <v>0</v>
      </c>
      <c r="BV4" s="287"/>
      <c r="BW4" s="287"/>
      <c r="BX4" s="287"/>
      <c r="BY4" s="287"/>
      <c r="BZ4" s="287"/>
      <c r="CA4" s="287"/>
      <c r="CB4" s="287"/>
      <c r="CC4" s="287"/>
      <c r="CD4" s="287"/>
      <c r="CE4" s="104">
        <v>260</v>
      </c>
    </row>
    <row r="5" spans="1:83" s="14" customFormat="1" ht="13.5">
      <c r="A5" s="35"/>
      <c r="B5" s="36"/>
      <c r="C5" s="38" t="s">
        <v>493</v>
      </c>
      <c r="D5" s="292" t="s">
        <v>717</v>
      </c>
      <c r="E5" s="37"/>
      <c r="F5" s="283">
        <f>AH47</f>
        <v>50</v>
      </c>
      <c r="G5" s="21">
        <f>$BB$22</f>
        <v>4</v>
      </c>
      <c r="H5" s="30">
        <f>F5</f>
        <v>50</v>
      </c>
      <c r="I5" s="19">
        <f aca="true" t="shared" si="7" ref="I5:I19">H5*G5</f>
        <v>200</v>
      </c>
      <c r="J5" s="24">
        <f aca="true" t="shared" si="8" ref="J5:J19">IF(G5=0,0,($I$22-H5))</f>
        <v>297.5</v>
      </c>
      <c r="K5" s="149">
        <f aca="true" t="shared" si="9" ref="K5:K19">ROUND(J5^2*G5,1)</f>
        <v>354025</v>
      </c>
      <c r="L5" s="14" t="s">
        <v>451</v>
      </c>
      <c r="N5" s="75" t="s">
        <v>154</v>
      </c>
      <c r="O5" s="192">
        <f>'設計方針'!I47</f>
        <v>270</v>
      </c>
      <c r="P5" s="48" t="str">
        <f>IF(OR(O5&lt;100,O5&gt;450),"ＮＧ","ＯＫ")</f>
        <v>ＯＫ</v>
      </c>
      <c r="R5" s="104">
        <v>390</v>
      </c>
      <c r="S5" s="60" t="s">
        <v>468</v>
      </c>
      <c r="T5" s="60" t="s">
        <v>496</v>
      </c>
      <c r="U5" s="60">
        <v>387</v>
      </c>
      <c r="V5" s="60">
        <v>330</v>
      </c>
      <c r="W5" s="60">
        <v>208.4</v>
      </c>
      <c r="X5" s="60">
        <v>98</v>
      </c>
      <c r="Y5" s="60">
        <v>155</v>
      </c>
      <c r="Z5" s="61">
        <v>19</v>
      </c>
      <c r="AA5" s="60">
        <v>49</v>
      </c>
      <c r="AB5" s="62">
        <v>8</v>
      </c>
      <c r="AC5" s="95">
        <v>135</v>
      </c>
      <c r="AD5" s="63">
        <v>89</v>
      </c>
      <c r="AE5" s="60">
        <v>195</v>
      </c>
      <c r="AF5" s="56"/>
      <c r="AG5" s="60">
        <f t="shared" si="2"/>
        <v>190</v>
      </c>
      <c r="AH5" s="60">
        <v>310</v>
      </c>
      <c r="AI5" s="60">
        <v>184</v>
      </c>
      <c r="AJ5" s="60">
        <f t="shared" si="3"/>
        <v>22</v>
      </c>
      <c r="AK5" s="60">
        <v>22</v>
      </c>
      <c r="AL5" s="60">
        <v>22</v>
      </c>
      <c r="AM5" s="60">
        <f>ROUNDUP(MAX(Y5+70+AL5*2+90+40,AI5+AL5*2+AR5*2),-1)</f>
        <v>400</v>
      </c>
      <c r="AN5" s="60">
        <f t="shared" si="4"/>
        <v>350</v>
      </c>
      <c r="AO5" s="61">
        <v>130</v>
      </c>
      <c r="AP5" s="27">
        <v>0</v>
      </c>
      <c r="AQ5" s="27">
        <v>0</v>
      </c>
      <c r="AR5" s="27">
        <v>0</v>
      </c>
      <c r="AS5" s="27">
        <v>0</v>
      </c>
      <c r="AT5" s="104">
        <v>390</v>
      </c>
      <c r="AU5" s="108"/>
      <c r="AV5" s="117">
        <f>ROUNDDOWN(AM5-40-90-AL5*2,-1)</f>
        <v>220</v>
      </c>
      <c r="AW5" s="117">
        <f t="shared" si="5"/>
        <v>2</v>
      </c>
      <c r="AX5" s="117">
        <f t="shared" si="0"/>
        <v>1</v>
      </c>
      <c r="AY5" s="118">
        <f>ROUNDUP((AV5-45*2)/75+2,0)</f>
        <v>4</v>
      </c>
      <c r="AZ5" s="115">
        <f t="shared" si="1"/>
        <v>4584</v>
      </c>
      <c r="BA5" s="115">
        <f t="shared" si="6"/>
        <v>11</v>
      </c>
      <c r="BB5" s="287">
        <v>3</v>
      </c>
      <c r="BC5" s="287">
        <v>2</v>
      </c>
      <c r="BD5" s="287">
        <v>2</v>
      </c>
      <c r="BE5" s="287">
        <v>0</v>
      </c>
      <c r="BF5" s="287">
        <v>4</v>
      </c>
      <c r="BG5" s="287"/>
      <c r="BH5" s="287"/>
      <c r="BI5" s="287"/>
      <c r="BJ5" s="287"/>
      <c r="BK5" s="287"/>
      <c r="BL5" s="287"/>
      <c r="BM5" s="287"/>
      <c r="BN5" s="287"/>
      <c r="BO5" s="287"/>
      <c r="BP5" s="287"/>
      <c r="BQ5" s="287">
        <v>130</v>
      </c>
      <c r="BR5" s="287">
        <v>120</v>
      </c>
      <c r="BS5" s="287">
        <v>120</v>
      </c>
      <c r="BT5" s="365">
        <v>120</v>
      </c>
      <c r="BU5" s="287">
        <v>0</v>
      </c>
      <c r="BV5" s="287"/>
      <c r="BW5" s="287"/>
      <c r="BX5" s="287"/>
      <c r="BY5" s="287"/>
      <c r="BZ5" s="287"/>
      <c r="CA5" s="287"/>
      <c r="CB5" s="287"/>
      <c r="CC5" s="287"/>
      <c r="CD5" s="287"/>
      <c r="CE5" s="104">
        <v>390</v>
      </c>
    </row>
    <row r="6" spans="1:83" s="6" customFormat="1" ht="16.5">
      <c r="A6" s="35"/>
      <c r="B6" s="36"/>
      <c r="C6" s="38" t="s">
        <v>60</v>
      </c>
      <c r="D6" s="21">
        <f>D9/1.5</f>
        <v>592</v>
      </c>
      <c r="E6" s="31" t="s">
        <v>141</v>
      </c>
      <c r="F6" s="283">
        <f>$BQ$22</f>
        <v>80</v>
      </c>
      <c r="G6" s="21">
        <f>$BC$22</f>
        <v>2</v>
      </c>
      <c r="H6" s="30">
        <f aca="true" t="shared" si="10" ref="H6:H19">H5+F6</f>
        <v>130</v>
      </c>
      <c r="I6" s="19">
        <f t="shared" si="7"/>
        <v>260</v>
      </c>
      <c r="J6" s="24">
        <f t="shared" si="8"/>
        <v>217.5</v>
      </c>
      <c r="K6" s="149">
        <f t="shared" si="9"/>
        <v>94612.5</v>
      </c>
      <c r="M6" s="103">
        <f>IF(P5="ＮＧ","スプリングは100～450ｍｍとしてください","")</f>
      </c>
      <c r="P6" s="31"/>
      <c r="R6" s="105">
        <v>570</v>
      </c>
      <c r="S6" s="25" t="s">
        <v>469</v>
      </c>
      <c r="T6" s="25" t="s">
        <v>497</v>
      </c>
      <c r="U6" s="25">
        <v>573</v>
      </c>
      <c r="V6" s="25">
        <v>495</v>
      </c>
      <c r="W6" s="25">
        <v>312.9</v>
      </c>
      <c r="X6" s="25">
        <v>113</v>
      </c>
      <c r="Y6" s="25">
        <v>210</v>
      </c>
      <c r="Z6" s="64">
        <v>19</v>
      </c>
      <c r="AA6" s="25">
        <v>57</v>
      </c>
      <c r="AB6" s="65">
        <v>8</v>
      </c>
      <c r="AC6" s="95">
        <v>180</v>
      </c>
      <c r="AD6" s="66">
        <v>114</v>
      </c>
      <c r="AE6" s="25">
        <v>250</v>
      </c>
      <c r="AF6" s="18"/>
      <c r="AG6" s="60">
        <f t="shared" si="2"/>
        <v>250</v>
      </c>
      <c r="AH6" s="60">
        <v>390</v>
      </c>
      <c r="AI6" s="25">
        <v>194</v>
      </c>
      <c r="AJ6" s="60">
        <f t="shared" si="3"/>
        <v>22</v>
      </c>
      <c r="AK6" s="25">
        <v>22</v>
      </c>
      <c r="AL6" s="25">
        <v>22</v>
      </c>
      <c r="AM6" s="60">
        <v>420</v>
      </c>
      <c r="AN6" s="60">
        <f t="shared" si="4"/>
        <v>430</v>
      </c>
      <c r="AO6" s="64">
        <v>130</v>
      </c>
      <c r="AP6" s="27">
        <v>0</v>
      </c>
      <c r="AQ6" s="27">
        <v>0</v>
      </c>
      <c r="AR6" s="27">
        <v>0</v>
      </c>
      <c r="AS6" s="27">
        <v>0</v>
      </c>
      <c r="AT6" s="105">
        <v>570</v>
      </c>
      <c r="AU6" s="108"/>
      <c r="AV6" s="117">
        <f>ROUNDDOWN(AM6-40-90-AL6*2,-1)</f>
        <v>240</v>
      </c>
      <c r="AW6" s="117">
        <f t="shared" si="5"/>
        <v>2</v>
      </c>
      <c r="AX6" s="117">
        <f t="shared" si="0"/>
        <v>1</v>
      </c>
      <c r="AY6" s="118">
        <f>ROUNDUP((AV6-45*2)/75+2,0)</f>
        <v>4</v>
      </c>
      <c r="AZ6" s="115">
        <f t="shared" si="1"/>
        <v>6875</v>
      </c>
      <c r="BA6" s="115">
        <f t="shared" si="6"/>
        <v>13</v>
      </c>
      <c r="BB6" s="287">
        <v>3</v>
      </c>
      <c r="BC6" s="287">
        <v>2</v>
      </c>
      <c r="BD6" s="287">
        <v>2</v>
      </c>
      <c r="BE6" s="287">
        <v>2</v>
      </c>
      <c r="BF6" s="287">
        <v>0</v>
      </c>
      <c r="BG6" s="287">
        <v>4</v>
      </c>
      <c r="BH6" s="287"/>
      <c r="BI6" s="287"/>
      <c r="BJ6" s="287"/>
      <c r="BK6" s="287"/>
      <c r="BL6" s="287"/>
      <c r="BM6" s="287"/>
      <c r="BN6" s="287"/>
      <c r="BO6" s="287"/>
      <c r="BP6" s="287"/>
      <c r="BQ6" s="287">
        <v>110</v>
      </c>
      <c r="BR6" s="287">
        <v>110</v>
      </c>
      <c r="BS6" s="287">
        <v>110</v>
      </c>
      <c r="BT6" s="287">
        <v>120</v>
      </c>
      <c r="BU6" s="365">
        <v>120</v>
      </c>
      <c r="BV6" s="287">
        <v>0</v>
      </c>
      <c r="BW6" s="287"/>
      <c r="BX6" s="287"/>
      <c r="BY6" s="287"/>
      <c r="BZ6" s="287"/>
      <c r="CA6" s="287"/>
      <c r="CB6" s="287"/>
      <c r="CC6" s="287"/>
      <c r="CD6" s="287"/>
      <c r="CE6" s="105">
        <v>570</v>
      </c>
    </row>
    <row r="7" spans="1:83" s="6" customFormat="1" ht="13.5">
      <c r="A7" s="383" t="s">
        <v>142</v>
      </c>
      <c r="B7" s="384"/>
      <c r="C7" s="385"/>
      <c r="D7" s="21">
        <v>1</v>
      </c>
      <c r="E7" s="31" t="s">
        <v>96</v>
      </c>
      <c r="F7" s="283">
        <f>$BR$22</f>
        <v>120</v>
      </c>
      <c r="G7" s="21">
        <f>$BD$22</f>
        <v>2</v>
      </c>
      <c r="H7" s="30">
        <f t="shared" si="10"/>
        <v>250</v>
      </c>
      <c r="I7" s="19">
        <f t="shared" si="7"/>
        <v>500</v>
      </c>
      <c r="J7" s="24">
        <f t="shared" si="8"/>
        <v>97.5</v>
      </c>
      <c r="K7" s="149">
        <f t="shared" si="9"/>
        <v>19012.5</v>
      </c>
      <c r="L7" s="7" t="s">
        <v>452</v>
      </c>
      <c r="M7" s="8"/>
      <c r="N7" s="8"/>
      <c r="O7" s="11">
        <f>'設計方針'!K22/'設計方針'!C33*1000</f>
        <v>16.49301170661672</v>
      </c>
      <c r="P7" s="48" t="str">
        <f>'設計方針'!O33</f>
        <v>ＯＫ</v>
      </c>
      <c r="R7" s="104">
        <v>730</v>
      </c>
      <c r="S7" s="60" t="s">
        <v>470</v>
      </c>
      <c r="T7" s="60" t="s">
        <v>498</v>
      </c>
      <c r="U7" s="60">
        <f aca="true" t="shared" si="11" ref="U7:W8">4*U3</f>
        <v>732</v>
      </c>
      <c r="V7" s="60">
        <f t="shared" si="11"/>
        <v>624</v>
      </c>
      <c r="W7" s="60">
        <f t="shared" si="11"/>
        <v>394.8</v>
      </c>
      <c r="X7" s="60">
        <v>118</v>
      </c>
      <c r="Y7" s="60">
        <v>210</v>
      </c>
      <c r="Z7" s="61">
        <v>19</v>
      </c>
      <c r="AA7" s="60">
        <v>90</v>
      </c>
      <c r="AB7" s="62">
        <v>8</v>
      </c>
      <c r="AC7" s="95">
        <v>180</v>
      </c>
      <c r="AD7" s="63">
        <v>114</v>
      </c>
      <c r="AE7" s="60">
        <v>250</v>
      </c>
      <c r="AF7" s="56"/>
      <c r="AG7" s="60">
        <f t="shared" si="2"/>
        <v>250</v>
      </c>
      <c r="AH7" s="60">
        <v>240</v>
      </c>
      <c r="AI7" s="60">
        <v>204</v>
      </c>
      <c r="AJ7" s="60">
        <f t="shared" si="3"/>
        <v>22</v>
      </c>
      <c r="AK7" s="60">
        <v>22</v>
      </c>
      <c r="AL7" s="60">
        <v>22</v>
      </c>
      <c r="AM7" s="60">
        <f>ROUNDUP(MAX(Y7+50+AL7*2+90+40,AI7+AL7*2+AR7*2),-1)</f>
        <v>440</v>
      </c>
      <c r="AN7" s="60">
        <f t="shared" si="4"/>
        <v>280</v>
      </c>
      <c r="AO7" s="61">
        <v>210</v>
      </c>
      <c r="AP7" s="27">
        <v>0</v>
      </c>
      <c r="AQ7" s="27">
        <v>0</v>
      </c>
      <c r="AR7" s="27">
        <v>0</v>
      </c>
      <c r="AS7" s="27">
        <v>0</v>
      </c>
      <c r="AT7" s="104">
        <v>730</v>
      </c>
      <c r="AU7" s="108"/>
      <c r="AV7" s="117">
        <f>ROUNDDOWN(AM7-40-90-AL7*2,-1)</f>
        <v>260</v>
      </c>
      <c r="AW7" s="117">
        <f t="shared" si="5"/>
        <v>2</v>
      </c>
      <c r="AX7" s="117">
        <f t="shared" si="0"/>
        <v>1</v>
      </c>
      <c r="AY7" s="118">
        <f>ROUNDUP((AV7-45*2)/75+2,0)</f>
        <v>5</v>
      </c>
      <c r="AZ7" s="115">
        <f t="shared" si="1"/>
        <v>8667</v>
      </c>
      <c r="BA7" s="115">
        <f t="shared" si="6"/>
        <v>13</v>
      </c>
      <c r="BB7" s="287">
        <v>3</v>
      </c>
      <c r="BC7" s="287">
        <v>2</v>
      </c>
      <c r="BD7" s="287">
        <v>2</v>
      </c>
      <c r="BE7" s="287">
        <v>0</v>
      </c>
      <c r="BF7" s="287">
        <v>2</v>
      </c>
      <c r="BG7" s="287">
        <v>4</v>
      </c>
      <c r="BH7" s="287"/>
      <c r="BI7" s="287"/>
      <c r="BJ7" s="287"/>
      <c r="BK7" s="287"/>
      <c r="BL7" s="287"/>
      <c r="BM7" s="287"/>
      <c r="BN7" s="287"/>
      <c r="BO7" s="287"/>
      <c r="BP7" s="287"/>
      <c r="BQ7" s="287">
        <v>100</v>
      </c>
      <c r="BR7" s="287">
        <v>100</v>
      </c>
      <c r="BS7" s="287">
        <v>100</v>
      </c>
      <c r="BT7" s="287">
        <v>100</v>
      </c>
      <c r="BU7" s="365">
        <v>100</v>
      </c>
      <c r="BV7" s="287">
        <v>0</v>
      </c>
      <c r="BW7" s="287"/>
      <c r="BX7" s="287"/>
      <c r="BY7" s="287"/>
      <c r="BZ7" s="287"/>
      <c r="CA7" s="287"/>
      <c r="CB7" s="287"/>
      <c r="CC7" s="287"/>
      <c r="CD7" s="287"/>
      <c r="CE7" s="104">
        <v>730</v>
      </c>
    </row>
    <row r="8" spans="1:83" s="14" customFormat="1" ht="13.5">
      <c r="A8" s="383" t="str">
        <f>IF(D5="一般型","ケーブルタイプ","ケーブルタイプ　G")</f>
        <v>ケーブルタイプ</v>
      </c>
      <c r="B8" s="384"/>
      <c r="C8" s="384"/>
      <c r="D8" s="291">
        <v>1000</v>
      </c>
      <c r="E8" s="8"/>
      <c r="F8" s="21">
        <f>$BS$22</f>
        <v>100</v>
      </c>
      <c r="G8" s="21">
        <f>$BE$22</f>
        <v>0</v>
      </c>
      <c r="H8" s="30">
        <f t="shared" si="10"/>
        <v>350</v>
      </c>
      <c r="I8" s="19">
        <f t="shared" si="7"/>
        <v>0</v>
      </c>
      <c r="J8" s="24">
        <f t="shared" si="8"/>
        <v>0</v>
      </c>
      <c r="K8" s="149">
        <f t="shared" si="9"/>
        <v>0</v>
      </c>
      <c r="L8" s="7"/>
      <c r="M8" s="8"/>
      <c r="N8" s="8"/>
      <c r="O8" s="11"/>
      <c r="P8" s="50"/>
      <c r="R8" s="104">
        <v>1000</v>
      </c>
      <c r="S8" s="60" t="s">
        <v>471</v>
      </c>
      <c r="T8" s="60" t="s">
        <v>499</v>
      </c>
      <c r="U8" s="60">
        <f t="shared" si="11"/>
        <v>1044</v>
      </c>
      <c r="V8" s="60">
        <f t="shared" si="11"/>
        <v>888</v>
      </c>
      <c r="W8" s="60">
        <f t="shared" si="11"/>
        <v>554.8</v>
      </c>
      <c r="X8" s="60">
        <v>133</v>
      </c>
      <c r="Y8" s="60">
        <v>250</v>
      </c>
      <c r="Z8" s="61">
        <v>19</v>
      </c>
      <c r="AA8" s="60">
        <v>105</v>
      </c>
      <c r="AB8" s="62">
        <v>10</v>
      </c>
      <c r="AC8" s="95">
        <v>180</v>
      </c>
      <c r="AD8" s="63">
        <v>140</v>
      </c>
      <c r="AE8" s="60">
        <v>290</v>
      </c>
      <c r="AF8" s="56"/>
      <c r="AG8" s="60">
        <f t="shared" si="2"/>
        <v>290</v>
      </c>
      <c r="AH8" s="60">
        <v>240</v>
      </c>
      <c r="AI8" s="60">
        <v>214</v>
      </c>
      <c r="AJ8" s="60">
        <f t="shared" si="3"/>
        <v>22</v>
      </c>
      <c r="AK8" s="60">
        <v>22</v>
      </c>
      <c r="AL8" s="60">
        <v>22</v>
      </c>
      <c r="AM8" s="60">
        <f>ROUNDUP(MAX(Y8+50+AL8*2+90+40,AI8+AL8*2+AR8*2),-1)</f>
        <v>480</v>
      </c>
      <c r="AN8" s="60">
        <f t="shared" si="4"/>
        <v>280</v>
      </c>
      <c r="AO8" s="61">
        <v>310</v>
      </c>
      <c r="AP8" s="106">
        <v>50</v>
      </c>
      <c r="AQ8" s="27">
        <f>AK8</f>
        <v>22</v>
      </c>
      <c r="AR8" s="27">
        <f aca="true" t="shared" si="12" ref="AR8:AR20">IF(AP8&gt;80,AP8,80)</f>
        <v>80</v>
      </c>
      <c r="AS8" s="27">
        <v>22</v>
      </c>
      <c r="AT8" s="104">
        <v>1000</v>
      </c>
      <c r="AU8" s="108"/>
      <c r="AV8" s="117">
        <f>ROUNDDOWN(AM8-40-90-AL8*2,-1)</f>
        <v>300</v>
      </c>
      <c r="AW8" s="117">
        <f t="shared" si="5"/>
        <v>2</v>
      </c>
      <c r="AX8" s="117">
        <f t="shared" si="0"/>
        <v>1</v>
      </c>
      <c r="AY8" s="118">
        <f>ROUNDUP((AV8-45*2)/75+2,0)</f>
        <v>5</v>
      </c>
      <c r="AZ8" s="115">
        <f t="shared" si="1"/>
        <v>12334</v>
      </c>
      <c r="BA8" s="115">
        <f t="shared" si="6"/>
        <v>16</v>
      </c>
      <c r="BB8" s="287">
        <v>4</v>
      </c>
      <c r="BC8" s="287">
        <v>2</v>
      </c>
      <c r="BD8" s="287">
        <v>2</v>
      </c>
      <c r="BE8" s="287">
        <v>0</v>
      </c>
      <c r="BF8" s="287">
        <v>2</v>
      </c>
      <c r="BG8" s="287">
        <v>2</v>
      </c>
      <c r="BH8" s="287">
        <v>4</v>
      </c>
      <c r="BI8" s="287"/>
      <c r="BJ8" s="287"/>
      <c r="BK8" s="287"/>
      <c r="BL8" s="287"/>
      <c r="BM8" s="287"/>
      <c r="BN8" s="287"/>
      <c r="BO8" s="287"/>
      <c r="BP8" s="287"/>
      <c r="BQ8" s="287">
        <v>80</v>
      </c>
      <c r="BR8" s="287">
        <v>120</v>
      </c>
      <c r="BS8" s="287">
        <v>100</v>
      </c>
      <c r="BT8" s="287">
        <v>100</v>
      </c>
      <c r="BU8" s="287">
        <v>100</v>
      </c>
      <c r="BV8" s="365">
        <v>100</v>
      </c>
      <c r="BW8" s="287">
        <v>0</v>
      </c>
      <c r="BX8" s="287">
        <v>0</v>
      </c>
      <c r="BY8" s="287"/>
      <c r="BZ8" s="287"/>
      <c r="CA8" s="287"/>
      <c r="CB8" s="287"/>
      <c r="CC8" s="287"/>
      <c r="CD8" s="287"/>
      <c r="CE8" s="104">
        <v>1000</v>
      </c>
    </row>
    <row r="9" spans="1:83" s="14" customFormat="1" ht="13.5">
      <c r="A9" s="35"/>
      <c r="B9" s="67"/>
      <c r="C9" s="38" t="s">
        <v>62</v>
      </c>
      <c r="D9" s="68">
        <f>V22</f>
        <v>888</v>
      </c>
      <c r="E9" s="36" t="s">
        <v>143</v>
      </c>
      <c r="F9" s="21">
        <f>$BT$22</f>
        <v>100</v>
      </c>
      <c r="G9" s="21">
        <f>$BF$22</f>
        <v>2</v>
      </c>
      <c r="H9" s="30">
        <f t="shared" si="10"/>
        <v>450</v>
      </c>
      <c r="I9" s="19">
        <f t="shared" si="7"/>
        <v>900</v>
      </c>
      <c r="J9" s="24">
        <f t="shared" si="8"/>
        <v>-102.5</v>
      </c>
      <c r="K9" s="149">
        <f t="shared" si="9"/>
        <v>21012.5</v>
      </c>
      <c r="L9" s="7" t="s">
        <v>453</v>
      </c>
      <c r="M9" s="8"/>
      <c r="N9" s="8"/>
      <c r="O9" s="11"/>
      <c r="P9" s="50"/>
      <c r="R9" s="104">
        <v>1300</v>
      </c>
      <c r="S9" s="60" t="s">
        <v>472</v>
      </c>
      <c r="T9" s="60" t="s">
        <v>500</v>
      </c>
      <c r="U9" s="60">
        <f>5*U4</f>
        <v>1305</v>
      </c>
      <c r="V9" s="60">
        <f>5*V4</f>
        <v>1110</v>
      </c>
      <c r="W9" s="60">
        <f>5*W4</f>
        <v>693.5</v>
      </c>
      <c r="X9" s="60">
        <v>148</v>
      </c>
      <c r="Y9" s="60">
        <v>280</v>
      </c>
      <c r="Z9" s="61">
        <v>28</v>
      </c>
      <c r="AA9" s="60">
        <v>115</v>
      </c>
      <c r="AB9" s="62">
        <v>11</v>
      </c>
      <c r="AC9" s="95">
        <v>180</v>
      </c>
      <c r="AD9" s="63">
        <v>140</v>
      </c>
      <c r="AE9" s="60">
        <v>320</v>
      </c>
      <c r="AF9" s="56"/>
      <c r="AG9" s="60">
        <f t="shared" si="2"/>
        <v>330</v>
      </c>
      <c r="AH9" s="60">
        <v>250</v>
      </c>
      <c r="AI9" s="60">
        <v>224</v>
      </c>
      <c r="AJ9" s="60">
        <f t="shared" si="3"/>
        <v>28</v>
      </c>
      <c r="AK9" s="60">
        <v>22</v>
      </c>
      <c r="AL9" s="60">
        <v>22</v>
      </c>
      <c r="AM9" s="60">
        <f>ROUNDUP(MAX(Y9+50+AL9*2+90+40,AI9+AL9*2+AR9*2),-1)</f>
        <v>510</v>
      </c>
      <c r="AN9" s="60">
        <f t="shared" si="4"/>
        <v>290</v>
      </c>
      <c r="AO9" s="61">
        <v>330</v>
      </c>
      <c r="AP9" s="106">
        <v>50</v>
      </c>
      <c r="AQ9" s="27">
        <f>AK9</f>
        <v>22</v>
      </c>
      <c r="AR9" s="27">
        <f t="shared" si="12"/>
        <v>80</v>
      </c>
      <c r="AS9" s="27">
        <v>22</v>
      </c>
      <c r="AT9" s="104">
        <v>1300</v>
      </c>
      <c r="AU9" s="108"/>
      <c r="AV9" s="117">
        <f>ROUNDDOWN(AM9-40-90-AL9*2,-1)</f>
        <v>330</v>
      </c>
      <c r="AW9" s="117">
        <f t="shared" si="5"/>
        <v>2</v>
      </c>
      <c r="AX9" s="117">
        <f t="shared" si="0"/>
        <v>1</v>
      </c>
      <c r="AY9" s="118">
        <f>ROUNDUP((AV9-45*2)/75+2,0)</f>
        <v>6</v>
      </c>
      <c r="AZ9" s="115">
        <f t="shared" si="1"/>
        <v>15417</v>
      </c>
      <c r="BA9" s="115">
        <f t="shared" si="6"/>
        <v>20</v>
      </c>
      <c r="BB9" s="287">
        <v>4</v>
      </c>
      <c r="BC9" s="287">
        <v>2</v>
      </c>
      <c r="BD9" s="287">
        <v>2</v>
      </c>
      <c r="BE9" s="287">
        <v>0</v>
      </c>
      <c r="BF9" s="287">
        <v>2</v>
      </c>
      <c r="BG9" s="287">
        <v>5</v>
      </c>
      <c r="BH9" s="287">
        <v>5</v>
      </c>
      <c r="BI9" s="287"/>
      <c r="BJ9" s="287"/>
      <c r="BK9" s="287"/>
      <c r="BL9" s="287"/>
      <c r="BM9" s="287"/>
      <c r="BN9" s="287"/>
      <c r="BO9" s="287"/>
      <c r="BP9" s="287"/>
      <c r="BQ9" s="287">
        <v>90</v>
      </c>
      <c r="BR9" s="287">
        <v>130</v>
      </c>
      <c r="BS9" s="287">
        <v>100</v>
      </c>
      <c r="BT9" s="287">
        <v>100</v>
      </c>
      <c r="BU9" s="287">
        <v>110</v>
      </c>
      <c r="BV9" s="365">
        <v>110</v>
      </c>
      <c r="BW9" s="287">
        <v>0</v>
      </c>
      <c r="BX9" s="287">
        <v>0</v>
      </c>
      <c r="BY9" s="287"/>
      <c r="BZ9" s="287"/>
      <c r="CA9" s="287"/>
      <c r="CB9" s="287"/>
      <c r="CC9" s="287"/>
      <c r="CD9" s="287"/>
      <c r="CE9" s="104">
        <v>1300</v>
      </c>
    </row>
    <row r="10" spans="1:83" s="14" customFormat="1" ht="13.5">
      <c r="A10" s="72"/>
      <c r="B10" s="36"/>
      <c r="C10" s="36"/>
      <c r="D10" s="36"/>
      <c r="E10" s="36"/>
      <c r="F10" s="21">
        <f>$BU$22</f>
        <v>100</v>
      </c>
      <c r="G10" s="21">
        <f>$BG$22</f>
        <v>2</v>
      </c>
      <c r="H10" s="30">
        <f t="shared" si="10"/>
        <v>550</v>
      </c>
      <c r="I10" s="19">
        <f t="shared" si="7"/>
        <v>1100</v>
      </c>
      <c r="J10" s="24">
        <f t="shared" si="8"/>
        <v>-202.5</v>
      </c>
      <c r="K10" s="149">
        <f t="shared" si="9"/>
        <v>82012.5</v>
      </c>
      <c r="L10" s="7"/>
      <c r="M10" s="8" t="s">
        <v>427</v>
      </c>
      <c r="N10" s="8" t="s">
        <v>61</v>
      </c>
      <c r="O10" s="11">
        <f>RIB!C39</f>
        <v>67.50090116645568</v>
      </c>
      <c r="P10" s="48" t="str">
        <f>RIB!P39</f>
        <v>ＯＫ</v>
      </c>
      <c r="R10" s="105">
        <v>1500</v>
      </c>
      <c r="S10" s="25" t="s">
        <v>473</v>
      </c>
      <c r="T10" s="25" t="s">
        <v>501</v>
      </c>
      <c r="U10" s="25">
        <f>4*U5</f>
        <v>1548</v>
      </c>
      <c r="V10" s="25">
        <f>4*V5</f>
        <v>1320</v>
      </c>
      <c r="W10" s="25">
        <f>4*W5</f>
        <v>833.6</v>
      </c>
      <c r="X10" s="25">
        <v>158</v>
      </c>
      <c r="Y10" s="25">
        <v>305</v>
      </c>
      <c r="Z10" s="64">
        <v>28</v>
      </c>
      <c r="AA10" s="25">
        <v>120</v>
      </c>
      <c r="AB10" s="65">
        <v>12</v>
      </c>
      <c r="AC10" s="95">
        <v>200</v>
      </c>
      <c r="AD10" s="66">
        <v>140</v>
      </c>
      <c r="AE10" s="25">
        <v>345</v>
      </c>
      <c r="AF10" s="18"/>
      <c r="AG10" s="60">
        <f t="shared" si="2"/>
        <v>360</v>
      </c>
      <c r="AH10" s="60">
        <v>260</v>
      </c>
      <c r="AI10" s="25">
        <v>234</v>
      </c>
      <c r="AJ10" s="60">
        <f t="shared" si="3"/>
        <v>28</v>
      </c>
      <c r="AK10" s="25">
        <v>22</v>
      </c>
      <c r="AL10" s="25">
        <v>25</v>
      </c>
      <c r="AM10" s="60">
        <f aca="true" t="shared" si="13" ref="AM10:AM18">ROUNDUP(MAX(Y10+50+AL10*2+100+40,AI10+AL10*2+AR10*2),-1)</f>
        <v>550</v>
      </c>
      <c r="AN10" s="60">
        <f t="shared" si="4"/>
        <v>300</v>
      </c>
      <c r="AO10" s="64">
        <v>350</v>
      </c>
      <c r="AP10" s="106">
        <v>60</v>
      </c>
      <c r="AQ10" s="27">
        <f>AK10</f>
        <v>22</v>
      </c>
      <c r="AR10" s="27">
        <f t="shared" si="12"/>
        <v>80</v>
      </c>
      <c r="AS10" s="27">
        <v>22</v>
      </c>
      <c r="AT10" s="105">
        <v>1500</v>
      </c>
      <c r="AU10" s="108"/>
      <c r="AV10" s="117">
        <f>ROUNDDOWN(AM10-40-100-AL10*2,-1)</f>
        <v>360</v>
      </c>
      <c r="AW10" s="117">
        <f t="shared" si="5"/>
        <v>2</v>
      </c>
      <c r="AX10" s="117">
        <f t="shared" si="0"/>
        <v>1</v>
      </c>
      <c r="AY10" s="118">
        <f>ROUNDUP((AV10-50*2)/75+2,0)</f>
        <v>6</v>
      </c>
      <c r="AZ10" s="115">
        <f t="shared" si="1"/>
        <v>18334</v>
      </c>
      <c r="BA10" s="115">
        <f t="shared" si="6"/>
        <v>24</v>
      </c>
      <c r="BB10" s="287">
        <v>4</v>
      </c>
      <c r="BC10" s="287">
        <v>2</v>
      </c>
      <c r="BD10" s="287">
        <v>2</v>
      </c>
      <c r="BE10" s="287">
        <v>0</v>
      </c>
      <c r="BF10" s="287">
        <v>2</v>
      </c>
      <c r="BG10" s="287">
        <v>4</v>
      </c>
      <c r="BH10" s="287">
        <v>5</v>
      </c>
      <c r="BI10" s="287">
        <v>5</v>
      </c>
      <c r="BJ10" s="287"/>
      <c r="BK10" s="287"/>
      <c r="BL10" s="287"/>
      <c r="BM10" s="287"/>
      <c r="BN10" s="287"/>
      <c r="BO10" s="287"/>
      <c r="BP10" s="287"/>
      <c r="BQ10" s="287">
        <v>90</v>
      </c>
      <c r="BR10" s="287">
        <v>130</v>
      </c>
      <c r="BS10" s="287">
        <v>100</v>
      </c>
      <c r="BT10" s="287">
        <v>85</v>
      </c>
      <c r="BU10" s="287">
        <v>85</v>
      </c>
      <c r="BV10" s="287">
        <v>85</v>
      </c>
      <c r="BW10" s="365">
        <v>85</v>
      </c>
      <c r="BX10" s="287">
        <v>0</v>
      </c>
      <c r="BY10" s="287">
        <v>0</v>
      </c>
      <c r="BZ10" s="287"/>
      <c r="CA10" s="287"/>
      <c r="CB10" s="287"/>
      <c r="CC10" s="287"/>
      <c r="CD10" s="287"/>
      <c r="CE10" s="105">
        <v>1500</v>
      </c>
    </row>
    <row r="11" spans="1:83" s="6" customFormat="1" ht="13.5">
      <c r="A11" s="35" t="s">
        <v>432</v>
      </c>
      <c r="B11" s="36"/>
      <c r="C11" s="38" t="s">
        <v>487</v>
      </c>
      <c r="D11" s="278" t="s">
        <v>488</v>
      </c>
      <c r="E11" s="36"/>
      <c r="F11" s="21">
        <f>$BV$22</f>
        <v>100</v>
      </c>
      <c r="G11" s="21">
        <f>$BH$22</f>
        <v>4</v>
      </c>
      <c r="H11" s="30">
        <f t="shared" si="10"/>
        <v>650</v>
      </c>
      <c r="I11" s="19">
        <f t="shared" si="7"/>
        <v>2600</v>
      </c>
      <c r="J11" s="24">
        <f t="shared" si="8"/>
        <v>-302.5</v>
      </c>
      <c r="K11" s="149">
        <f t="shared" si="9"/>
        <v>366025</v>
      </c>
      <c r="L11" s="7"/>
      <c r="M11" s="8"/>
      <c r="N11" s="8" t="s">
        <v>402</v>
      </c>
      <c r="O11" s="11">
        <f>RIB!C42</f>
        <v>42.04545454545455</v>
      </c>
      <c r="P11" s="48" t="str">
        <f>RIB!P42</f>
        <v>ＯＫ</v>
      </c>
      <c r="R11" s="104">
        <v>1800</v>
      </c>
      <c r="S11" s="60" t="s">
        <v>474</v>
      </c>
      <c r="T11" s="60" t="s">
        <v>502</v>
      </c>
      <c r="U11" s="60">
        <f>4*451</f>
        <v>1804</v>
      </c>
      <c r="V11" s="60">
        <f>4*387</f>
        <v>1548</v>
      </c>
      <c r="W11" s="60">
        <f>4*243.7</f>
        <v>974.8</v>
      </c>
      <c r="X11" s="60">
        <v>163</v>
      </c>
      <c r="Y11" s="60">
        <v>325</v>
      </c>
      <c r="Z11" s="61">
        <v>28</v>
      </c>
      <c r="AA11" s="60">
        <v>125</v>
      </c>
      <c r="AB11" s="62">
        <v>13</v>
      </c>
      <c r="AC11" s="95">
        <v>200</v>
      </c>
      <c r="AD11" s="63">
        <v>140</v>
      </c>
      <c r="AE11" s="60">
        <v>365</v>
      </c>
      <c r="AF11" s="56"/>
      <c r="AG11" s="60">
        <f t="shared" si="2"/>
        <v>380</v>
      </c>
      <c r="AH11" s="60">
        <v>280</v>
      </c>
      <c r="AI11" s="60">
        <v>234</v>
      </c>
      <c r="AJ11" s="60">
        <f t="shared" si="3"/>
        <v>28</v>
      </c>
      <c r="AK11" s="60">
        <v>25</v>
      </c>
      <c r="AL11" s="60">
        <v>25</v>
      </c>
      <c r="AM11" s="60">
        <f t="shared" si="13"/>
        <v>570</v>
      </c>
      <c r="AN11" s="60">
        <f t="shared" si="4"/>
        <v>320</v>
      </c>
      <c r="AO11" s="64">
        <v>350</v>
      </c>
      <c r="AP11" s="106">
        <v>70</v>
      </c>
      <c r="AQ11" s="27">
        <v>25</v>
      </c>
      <c r="AR11" s="27">
        <v>105</v>
      </c>
      <c r="AS11" s="27">
        <v>25</v>
      </c>
      <c r="AT11" s="104">
        <v>1800</v>
      </c>
      <c r="AU11" s="108"/>
      <c r="AV11" s="117">
        <f>ROUNDDOWN(AM11-40-100-AL11*2,-1)</f>
        <v>380</v>
      </c>
      <c r="AW11" s="117">
        <f t="shared" si="5"/>
        <v>2</v>
      </c>
      <c r="AX11" s="117">
        <f t="shared" si="0"/>
        <v>2</v>
      </c>
      <c r="AY11" s="118">
        <f aca="true" t="shared" si="14" ref="AY11:AY20">ROUNDUP((AV11-50*2)/75+2,0)</f>
        <v>6</v>
      </c>
      <c r="AZ11" s="115">
        <f t="shared" si="1"/>
        <v>21500</v>
      </c>
      <c r="BA11" s="115">
        <f t="shared" si="6"/>
        <v>27</v>
      </c>
      <c r="BB11" s="287">
        <v>4</v>
      </c>
      <c r="BC11" s="287">
        <v>2</v>
      </c>
      <c r="BD11" s="287">
        <v>2</v>
      </c>
      <c r="BE11" s="287">
        <v>2</v>
      </c>
      <c r="BF11" s="287">
        <v>0</v>
      </c>
      <c r="BG11" s="287">
        <v>2</v>
      </c>
      <c r="BH11" s="287">
        <v>5</v>
      </c>
      <c r="BI11" s="287">
        <v>5</v>
      </c>
      <c r="BJ11" s="287">
        <v>5</v>
      </c>
      <c r="BK11" s="287"/>
      <c r="BL11" s="287"/>
      <c r="BM11" s="287"/>
      <c r="BN11" s="287"/>
      <c r="BO11" s="287"/>
      <c r="BP11" s="287"/>
      <c r="BQ11" s="287">
        <v>80</v>
      </c>
      <c r="BR11" s="287">
        <v>120</v>
      </c>
      <c r="BS11" s="287">
        <v>80</v>
      </c>
      <c r="BT11" s="287">
        <v>60</v>
      </c>
      <c r="BU11" s="287">
        <v>85</v>
      </c>
      <c r="BV11" s="287">
        <v>85</v>
      </c>
      <c r="BW11" s="287">
        <v>85</v>
      </c>
      <c r="BX11" s="365">
        <v>85</v>
      </c>
      <c r="BY11" s="287">
        <v>0</v>
      </c>
      <c r="BZ11" s="287">
        <v>0</v>
      </c>
      <c r="CA11" s="287"/>
      <c r="CB11" s="287"/>
      <c r="CC11" s="287"/>
      <c r="CD11" s="287"/>
      <c r="CE11" s="104">
        <v>1800</v>
      </c>
    </row>
    <row r="12" spans="1:83" s="14" customFormat="1" ht="13.5">
      <c r="A12" s="35"/>
      <c r="B12" s="36"/>
      <c r="C12" s="38" t="s">
        <v>149</v>
      </c>
      <c r="D12" s="21">
        <v>2</v>
      </c>
      <c r="E12" s="8" t="s">
        <v>150</v>
      </c>
      <c r="F12" s="21">
        <f>$BW$22</f>
        <v>0</v>
      </c>
      <c r="G12" s="21">
        <f>$BI$22</f>
        <v>0</v>
      </c>
      <c r="H12" s="30">
        <f t="shared" si="10"/>
        <v>650</v>
      </c>
      <c r="I12" s="19">
        <f t="shared" si="7"/>
        <v>0</v>
      </c>
      <c r="J12" s="24">
        <f t="shared" si="8"/>
        <v>0</v>
      </c>
      <c r="K12" s="149">
        <f t="shared" si="9"/>
        <v>0</v>
      </c>
      <c r="L12" s="7"/>
      <c r="M12" s="8"/>
      <c r="N12" s="8" t="s">
        <v>145</v>
      </c>
      <c r="O12" s="32">
        <f>RIB!I44</f>
        <v>0.2260843802172594</v>
      </c>
      <c r="P12" s="48" t="str">
        <f>RIB!P44</f>
        <v>ＯＫ</v>
      </c>
      <c r="R12" s="104">
        <v>1900</v>
      </c>
      <c r="S12" s="60" t="s">
        <v>475</v>
      </c>
      <c r="T12" s="60" t="s">
        <v>503</v>
      </c>
      <c r="U12" s="60">
        <f>5*U5</f>
        <v>1935</v>
      </c>
      <c r="V12" s="60">
        <f>5*V5</f>
        <v>1650</v>
      </c>
      <c r="W12" s="60">
        <f>5*W5</f>
        <v>1042</v>
      </c>
      <c r="X12" s="60">
        <v>168</v>
      </c>
      <c r="Y12" s="60">
        <v>340</v>
      </c>
      <c r="Z12" s="61">
        <v>28</v>
      </c>
      <c r="AA12" s="60">
        <v>130</v>
      </c>
      <c r="AB12" s="62">
        <v>13</v>
      </c>
      <c r="AC12" s="46">
        <v>220</v>
      </c>
      <c r="AD12" s="63">
        <v>165</v>
      </c>
      <c r="AE12" s="60">
        <v>380</v>
      </c>
      <c r="AF12" s="56"/>
      <c r="AG12" s="60">
        <f t="shared" si="2"/>
        <v>390</v>
      </c>
      <c r="AH12" s="60">
        <v>310</v>
      </c>
      <c r="AI12" s="60">
        <v>244</v>
      </c>
      <c r="AJ12" s="60">
        <f t="shared" si="3"/>
        <v>28</v>
      </c>
      <c r="AK12" s="60">
        <v>22</v>
      </c>
      <c r="AL12" s="60">
        <v>25</v>
      </c>
      <c r="AM12" s="60">
        <f t="shared" si="13"/>
        <v>580</v>
      </c>
      <c r="AN12" s="60">
        <f t="shared" si="4"/>
        <v>350</v>
      </c>
      <c r="AO12" s="64">
        <v>370</v>
      </c>
      <c r="AP12" s="106">
        <v>70</v>
      </c>
      <c r="AQ12" s="27">
        <v>25</v>
      </c>
      <c r="AR12" s="27">
        <v>105</v>
      </c>
      <c r="AS12" s="27">
        <v>25</v>
      </c>
      <c r="AT12" s="104">
        <v>1900</v>
      </c>
      <c r="AU12" s="108"/>
      <c r="AV12" s="117">
        <f aca="true" t="shared" si="15" ref="AV12:AV20">ROUNDDOWN(AM12-40-100-AL12*2,-1)</f>
        <v>390</v>
      </c>
      <c r="AW12" s="117">
        <f t="shared" si="5"/>
        <v>3</v>
      </c>
      <c r="AX12" s="117">
        <f t="shared" si="0"/>
        <v>2</v>
      </c>
      <c r="AY12" s="118">
        <f t="shared" si="14"/>
        <v>6</v>
      </c>
      <c r="AZ12" s="115">
        <f t="shared" si="1"/>
        <v>22917</v>
      </c>
      <c r="BA12" s="115">
        <f t="shared" si="6"/>
        <v>28</v>
      </c>
      <c r="BB12" s="287">
        <v>4</v>
      </c>
      <c r="BC12" s="287">
        <v>2</v>
      </c>
      <c r="BD12" s="287">
        <v>2</v>
      </c>
      <c r="BE12" s="287">
        <v>2</v>
      </c>
      <c r="BF12" s="287">
        <v>0</v>
      </c>
      <c r="BG12" s="287">
        <v>2</v>
      </c>
      <c r="BH12" s="287">
        <v>4</v>
      </c>
      <c r="BI12" s="287">
        <v>6</v>
      </c>
      <c r="BJ12" s="287">
        <v>6</v>
      </c>
      <c r="BK12" s="287"/>
      <c r="BL12" s="287"/>
      <c r="BM12" s="287"/>
      <c r="BN12" s="287"/>
      <c r="BO12" s="287"/>
      <c r="BP12" s="287"/>
      <c r="BQ12" s="287">
        <v>80</v>
      </c>
      <c r="BR12" s="287">
        <v>130</v>
      </c>
      <c r="BS12" s="287">
        <v>80</v>
      </c>
      <c r="BT12" s="287">
        <v>80</v>
      </c>
      <c r="BU12" s="287">
        <v>90</v>
      </c>
      <c r="BV12" s="287">
        <v>90</v>
      </c>
      <c r="BW12" s="287">
        <v>90</v>
      </c>
      <c r="BX12" s="365">
        <v>90</v>
      </c>
      <c r="BY12" s="287">
        <v>0</v>
      </c>
      <c r="BZ12" s="287">
        <v>0</v>
      </c>
      <c r="CA12" s="287"/>
      <c r="CB12" s="287"/>
      <c r="CC12" s="287"/>
      <c r="CD12" s="287"/>
      <c r="CE12" s="104">
        <v>1900</v>
      </c>
    </row>
    <row r="13" spans="1:83" s="14" customFormat="1" ht="13.5">
      <c r="A13" s="35"/>
      <c r="B13" s="8"/>
      <c r="C13" s="295" t="s">
        <v>83</v>
      </c>
      <c r="D13" s="283">
        <v>18</v>
      </c>
      <c r="E13" s="294" t="s">
        <v>144</v>
      </c>
      <c r="F13" s="21">
        <f>$BX$22</f>
        <v>0</v>
      </c>
      <c r="G13" s="21">
        <f>$BJ$22</f>
        <v>0</v>
      </c>
      <c r="H13" s="30">
        <f t="shared" si="10"/>
        <v>650</v>
      </c>
      <c r="I13" s="19">
        <f t="shared" si="7"/>
        <v>0</v>
      </c>
      <c r="J13" s="24">
        <f t="shared" si="8"/>
        <v>0</v>
      </c>
      <c r="K13" s="149">
        <f t="shared" si="9"/>
        <v>0</v>
      </c>
      <c r="L13" s="7"/>
      <c r="M13" s="8"/>
      <c r="N13" s="8"/>
      <c r="O13" s="8"/>
      <c r="P13" s="31"/>
      <c r="R13" s="104">
        <v>2300</v>
      </c>
      <c r="S13" s="60" t="s">
        <v>476</v>
      </c>
      <c r="T13" s="60" t="s">
        <v>504</v>
      </c>
      <c r="U13" s="60">
        <f>5*451</f>
        <v>2255</v>
      </c>
      <c r="V13" s="60">
        <f>5*387</f>
        <v>1935</v>
      </c>
      <c r="W13" s="60">
        <f>5*243.7</f>
        <v>1218.5</v>
      </c>
      <c r="X13" s="60">
        <v>178</v>
      </c>
      <c r="Y13" s="60">
        <v>365</v>
      </c>
      <c r="Z13" s="61">
        <v>36</v>
      </c>
      <c r="AA13" s="60">
        <v>140</v>
      </c>
      <c r="AB13" s="62">
        <v>14</v>
      </c>
      <c r="AC13" s="95">
        <v>240</v>
      </c>
      <c r="AD13" s="63">
        <v>165</v>
      </c>
      <c r="AE13" s="60">
        <v>405</v>
      </c>
      <c r="AF13" s="56"/>
      <c r="AG13" s="60">
        <f t="shared" si="2"/>
        <v>430</v>
      </c>
      <c r="AH13" s="60">
        <v>330</v>
      </c>
      <c r="AI13" s="60">
        <v>254</v>
      </c>
      <c r="AJ13" s="60">
        <f t="shared" si="3"/>
        <v>36</v>
      </c>
      <c r="AK13" s="60">
        <v>22</v>
      </c>
      <c r="AL13" s="60">
        <v>28</v>
      </c>
      <c r="AM13" s="60">
        <f t="shared" si="13"/>
        <v>620</v>
      </c>
      <c r="AN13" s="60">
        <f t="shared" si="4"/>
        <v>370</v>
      </c>
      <c r="AO13" s="61">
        <v>440</v>
      </c>
      <c r="AP13" s="106">
        <v>80</v>
      </c>
      <c r="AQ13" s="27">
        <v>28</v>
      </c>
      <c r="AR13" s="27">
        <v>90</v>
      </c>
      <c r="AS13" s="27">
        <v>28</v>
      </c>
      <c r="AT13" s="104">
        <v>2300</v>
      </c>
      <c r="AU13" s="108"/>
      <c r="AV13" s="117">
        <f t="shared" si="15"/>
        <v>420</v>
      </c>
      <c r="AW13" s="117">
        <f t="shared" si="5"/>
        <v>3</v>
      </c>
      <c r="AX13" s="117">
        <f t="shared" si="0"/>
        <v>2</v>
      </c>
      <c r="AY13" s="118">
        <f t="shared" si="14"/>
        <v>7</v>
      </c>
      <c r="AZ13" s="115">
        <f t="shared" si="1"/>
        <v>26875</v>
      </c>
      <c r="BA13" s="115">
        <f t="shared" si="6"/>
        <v>34</v>
      </c>
      <c r="BB13" s="287">
        <v>6</v>
      </c>
      <c r="BC13" s="287">
        <v>2</v>
      </c>
      <c r="BD13" s="287">
        <v>2</v>
      </c>
      <c r="BE13" s="287">
        <v>2</v>
      </c>
      <c r="BF13" s="287">
        <v>2</v>
      </c>
      <c r="BG13" s="287">
        <v>0</v>
      </c>
      <c r="BH13" s="287">
        <v>2</v>
      </c>
      <c r="BI13" s="287">
        <v>4</v>
      </c>
      <c r="BJ13" s="287">
        <v>4</v>
      </c>
      <c r="BK13" s="287">
        <v>4</v>
      </c>
      <c r="BL13" s="287">
        <v>6</v>
      </c>
      <c r="BM13" s="287"/>
      <c r="BN13" s="287"/>
      <c r="BO13" s="287"/>
      <c r="BP13" s="287"/>
      <c r="BQ13" s="287">
        <v>80</v>
      </c>
      <c r="BR13" s="287">
        <v>80</v>
      </c>
      <c r="BS13" s="287">
        <v>80</v>
      </c>
      <c r="BT13" s="287">
        <v>80</v>
      </c>
      <c r="BU13" s="287">
        <v>80</v>
      </c>
      <c r="BV13" s="287">
        <v>80</v>
      </c>
      <c r="BW13" s="287">
        <v>80</v>
      </c>
      <c r="BX13" s="287">
        <v>90</v>
      </c>
      <c r="BY13" s="287">
        <v>90</v>
      </c>
      <c r="BZ13" s="365">
        <v>90</v>
      </c>
      <c r="CA13" s="287">
        <v>0</v>
      </c>
      <c r="CB13" s="287">
        <v>0</v>
      </c>
      <c r="CC13" s="287"/>
      <c r="CD13" s="287"/>
      <c r="CE13" s="104">
        <v>2300</v>
      </c>
    </row>
    <row r="14" spans="1:83" s="14" customFormat="1" ht="13.5">
      <c r="A14" s="35"/>
      <c r="B14" s="36"/>
      <c r="C14" s="295" t="s">
        <v>87</v>
      </c>
      <c r="D14" s="21">
        <v>10</v>
      </c>
      <c r="E14" s="294" t="s">
        <v>86</v>
      </c>
      <c r="F14" s="21">
        <f>$BY$22</f>
        <v>0</v>
      </c>
      <c r="G14" s="21">
        <f>$BK$22</f>
        <v>0</v>
      </c>
      <c r="H14" s="30">
        <f t="shared" si="10"/>
        <v>650</v>
      </c>
      <c r="I14" s="19">
        <f t="shared" si="7"/>
        <v>0</v>
      </c>
      <c r="J14" s="24">
        <f t="shared" si="8"/>
        <v>0</v>
      </c>
      <c r="K14" s="149">
        <f t="shared" si="9"/>
        <v>0</v>
      </c>
      <c r="L14" s="7"/>
      <c r="M14" s="8" t="s">
        <v>428</v>
      </c>
      <c r="N14" s="8" t="s">
        <v>148</v>
      </c>
      <c r="O14" s="11">
        <f>WEB!C40</f>
        <v>140.01638822446677</v>
      </c>
      <c r="P14" s="51" t="str">
        <f>WEB!O40</f>
        <v>ＯＫ</v>
      </c>
      <c r="R14" s="104">
        <v>2700</v>
      </c>
      <c r="S14" s="60" t="s">
        <v>477</v>
      </c>
      <c r="T14" s="60" t="s">
        <v>505</v>
      </c>
      <c r="U14" s="60">
        <f>6*451</f>
        <v>2706</v>
      </c>
      <c r="V14" s="60">
        <f>6*387</f>
        <v>2322</v>
      </c>
      <c r="W14" s="60">
        <f>6*243.7</f>
        <v>1462.1999999999998</v>
      </c>
      <c r="X14" s="60">
        <v>198</v>
      </c>
      <c r="Y14" s="60">
        <v>400</v>
      </c>
      <c r="Z14" s="61">
        <v>36</v>
      </c>
      <c r="AA14" s="60">
        <v>150</v>
      </c>
      <c r="AB14" s="62">
        <v>14</v>
      </c>
      <c r="AC14" s="95">
        <v>240</v>
      </c>
      <c r="AD14" s="63">
        <v>165</v>
      </c>
      <c r="AE14" s="60">
        <v>440</v>
      </c>
      <c r="AF14" s="56"/>
      <c r="AG14" s="60">
        <f t="shared" si="2"/>
        <v>470</v>
      </c>
      <c r="AH14" s="60">
        <v>330</v>
      </c>
      <c r="AI14" s="60">
        <v>264</v>
      </c>
      <c r="AJ14" s="60">
        <f t="shared" si="3"/>
        <v>36</v>
      </c>
      <c r="AK14" s="60">
        <v>25</v>
      </c>
      <c r="AL14" s="60">
        <v>28</v>
      </c>
      <c r="AM14" s="60">
        <f t="shared" si="13"/>
        <v>650</v>
      </c>
      <c r="AN14" s="60">
        <f t="shared" si="4"/>
        <v>370</v>
      </c>
      <c r="AO14" s="61">
        <v>440</v>
      </c>
      <c r="AP14" s="27">
        <v>75</v>
      </c>
      <c r="AQ14" s="27">
        <v>28</v>
      </c>
      <c r="AR14" s="27">
        <v>125</v>
      </c>
      <c r="AS14" s="27">
        <v>28</v>
      </c>
      <c r="AT14" s="104">
        <v>2700</v>
      </c>
      <c r="AU14" s="108"/>
      <c r="AV14" s="117">
        <f t="shared" si="15"/>
        <v>450</v>
      </c>
      <c r="AW14" s="117">
        <f t="shared" si="5"/>
        <v>3</v>
      </c>
      <c r="AX14" s="117">
        <f t="shared" si="0"/>
        <v>2</v>
      </c>
      <c r="AY14" s="118">
        <f t="shared" si="14"/>
        <v>7</v>
      </c>
      <c r="AZ14" s="115">
        <f t="shared" si="1"/>
        <v>32250</v>
      </c>
      <c r="BA14" s="115">
        <f t="shared" si="6"/>
        <v>40</v>
      </c>
      <c r="BB14" s="287">
        <v>6</v>
      </c>
      <c r="BC14" s="287">
        <v>4</v>
      </c>
      <c r="BD14" s="287">
        <v>2</v>
      </c>
      <c r="BE14" s="287">
        <v>2</v>
      </c>
      <c r="BF14" s="287">
        <v>0</v>
      </c>
      <c r="BG14" s="287">
        <v>2</v>
      </c>
      <c r="BH14" s="287">
        <v>6</v>
      </c>
      <c r="BI14" s="287">
        <v>6</v>
      </c>
      <c r="BJ14" s="287">
        <v>6</v>
      </c>
      <c r="BK14" s="287">
        <v>6</v>
      </c>
      <c r="BL14" s="287"/>
      <c r="BM14" s="287"/>
      <c r="BN14" s="287"/>
      <c r="BO14" s="287"/>
      <c r="BP14" s="287"/>
      <c r="BQ14" s="287">
        <v>90</v>
      </c>
      <c r="BR14" s="287">
        <v>150</v>
      </c>
      <c r="BS14" s="287">
        <v>80</v>
      </c>
      <c r="BT14" s="287">
        <v>80</v>
      </c>
      <c r="BU14" s="287">
        <v>80</v>
      </c>
      <c r="BV14" s="287">
        <v>80</v>
      </c>
      <c r="BW14" s="287">
        <v>90</v>
      </c>
      <c r="BX14" s="287">
        <v>90</v>
      </c>
      <c r="BY14" s="365">
        <v>90</v>
      </c>
      <c r="BZ14" s="287">
        <v>0</v>
      </c>
      <c r="CA14" s="287">
        <v>0</v>
      </c>
      <c r="CB14" s="287">
        <v>0</v>
      </c>
      <c r="CC14" s="287"/>
      <c r="CD14" s="287"/>
      <c r="CE14" s="104">
        <v>2700</v>
      </c>
    </row>
    <row r="15" spans="1:83" s="14" customFormat="1" ht="13.5">
      <c r="A15" s="35"/>
      <c r="B15" s="36"/>
      <c r="C15" s="295" t="s">
        <v>485</v>
      </c>
      <c r="D15" s="71">
        <v>250</v>
      </c>
      <c r="E15" s="294" t="s">
        <v>486</v>
      </c>
      <c r="F15" s="21">
        <f>$BZ$22</f>
        <v>0</v>
      </c>
      <c r="G15" s="21">
        <f>$BL$22</f>
        <v>0</v>
      </c>
      <c r="H15" s="30">
        <f t="shared" si="10"/>
        <v>650</v>
      </c>
      <c r="I15" s="19">
        <f t="shared" si="7"/>
        <v>0</v>
      </c>
      <c r="J15" s="24">
        <f t="shared" si="8"/>
        <v>0</v>
      </c>
      <c r="K15" s="149">
        <f t="shared" si="9"/>
        <v>0</v>
      </c>
      <c r="L15" s="7"/>
      <c r="M15" s="8"/>
      <c r="N15" s="8" t="s">
        <v>151</v>
      </c>
      <c r="O15" s="11">
        <f>WEB!C43</f>
        <v>140.01638822446677</v>
      </c>
      <c r="P15" s="51" t="str">
        <f>WEB!O43</f>
        <v>ＯＫ</v>
      </c>
      <c r="R15" s="105">
        <v>3200</v>
      </c>
      <c r="S15" s="25" t="s">
        <v>478</v>
      </c>
      <c r="T15" s="25" t="s">
        <v>506</v>
      </c>
      <c r="U15" s="25">
        <f>7*451</f>
        <v>3157</v>
      </c>
      <c r="V15" s="25">
        <f>7*387</f>
        <v>2709</v>
      </c>
      <c r="W15" s="25">
        <f>7*243.7</f>
        <v>1705.8999999999999</v>
      </c>
      <c r="X15" s="25">
        <v>207</v>
      </c>
      <c r="Y15" s="25">
        <v>425</v>
      </c>
      <c r="Z15" s="64">
        <v>36</v>
      </c>
      <c r="AA15" s="25">
        <v>150</v>
      </c>
      <c r="AB15" s="65">
        <v>14</v>
      </c>
      <c r="AC15" s="95">
        <v>240</v>
      </c>
      <c r="AD15" s="66">
        <v>165</v>
      </c>
      <c r="AE15" s="25">
        <v>465</v>
      </c>
      <c r="AF15" s="18"/>
      <c r="AG15" s="60">
        <f t="shared" si="2"/>
        <v>490</v>
      </c>
      <c r="AH15" s="60">
        <v>330</v>
      </c>
      <c r="AI15" s="25">
        <v>284</v>
      </c>
      <c r="AJ15" s="60">
        <f t="shared" si="3"/>
        <v>36</v>
      </c>
      <c r="AK15" s="25">
        <v>28</v>
      </c>
      <c r="AL15" s="25">
        <v>32</v>
      </c>
      <c r="AM15" s="60">
        <f t="shared" si="13"/>
        <v>680</v>
      </c>
      <c r="AN15" s="60">
        <f t="shared" si="4"/>
        <v>370</v>
      </c>
      <c r="AO15" s="64">
        <v>410</v>
      </c>
      <c r="AP15" s="27">
        <v>75</v>
      </c>
      <c r="AQ15" s="27">
        <v>32</v>
      </c>
      <c r="AR15" s="27">
        <v>110</v>
      </c>
      <c r="AS15" s="27">
        <v>32</v>
      </c>
      <c r="AT15" s="105">
        <v>3200</v>
      </c>
      <c r="AU15" s="108"/>
      <c r="AV15" s="117">
        <f t="shared" si="15"/>
        <v>470</v>
      </c>
      <c r="AW15" s="117">
        <f t="shared" si="5"/>
        <v>3</v>
      </c>
      <c r="AX15" s="117">
        <f t="shared" si="0"/>
        <v>2</v>
      </c>
      <c r="AY15" s="118">
        <f t="shared" si="14"/>
        <v>7</v>
      </c>
      <c r="AZ15" s="115">
        <f t="shared" si="1"/>
        <v>37625</v>
      </c>
      <c r="BA15" s="115">
        <f t="shared" si="6"/>
        <v>48</v>
      </c>
      <c r="BB15" s="287">
        <v>6</v>
      </c>
      <c r="BC15" s="287">
        <v>4</v>
      </c>
      <c r="BD15" s="287">
        <v>4</v>
      </c>
      <c r="BE15" s="287">
        <v>4</v>
      </c>
      <c r="BF15" s="287">
        <v>0</v>
      </c>
      <c r="BG15" s="287">
        <v>2</v>
      </c>
      <c r="BH15" s="287">
        <v>7</v>
      </c>
      <c r="BI15" s="287">
        <v>7</v>
      </c>
      <c r="BJ15" s="287">
        <v>7</v>
      </c>
      <c r="BK15" s="287">
        <v>7</v>
      </c>
      <c r="BL15" s="287"/>
      <c r="BM15" s="287"/>
      <c r="BN15" s="287"/>
      <c r="BO15" s="287"/>
      <c r="BP15" s="287"/>
      <c r="BQ15" s="287">
        <v>90</v>
      </c>
      <c r="BR15" s="287">
        <v>150</v>
      </c>
      <c r="BS15" s="287">
        <v>80</v>
      </c>
      <c r="BT15" s="287">
        <v>80</v>
      </c>
      <c r="BU15" s="287">
        <v>80</v>
      </c>
      <c r="BV15" s="287">
        <v>80</v>
      </c>
      <c r="BW15" s="287">
        <v>80</v>
      </c>
      <c r="BX15" s="287">
        <v>80</v>
      </c>
      <c r="BY15" s="365">
        <v>80</v>
      </c>
      <c r="BZ15" s="287">
        <v>0</v>
      </c>
      <c r="CA15" s="287">
        <v>0</v>
      </c>
      <c r="CB15" s="287">
        <v>0</v>
      </c>
      <c r="CC15" s="287"/>
      <c r="CD15" s="287"/>
      <c r="CE15" s="105">
        <v>3200</v>
      </c>
    </row>
    <row r="16" spans="1:83" s="6" customFormat="1" ht="13.5">
      <c r="A16" s="35"/>
      <c r="B16" s="36"/>
      <c r="C16" s="295" t="s">
        <v>85</v>
      </c>
      <c r="D16" s="21">
        <v>50</v>
      </c>
      <c r="E16" s="294" t="s">
        <v>153</v>
      </c>
      <c r="F16" s="21">
        <f>$CA$22</f>
        <v>0</v>
      </c>
      <c r="G16" s="21">
        <f>$BM$22</f>
        <v>0</v>
      </c>
      <c r="H16" s="30">
        <f t="shared" si="10"/>
        <v>650</v>
      </c>
      <c r="I16" s="19">
        <f t="shared" si="7"/>
        <v>0</v>
      </c>
      <c r="J16" s="24">
        <f t="shared" si="8"/>
        <v>0</v>
      </c>
      <c r="K16" s="149">
        <f t="shared" si="9"/>
        <v>0</v>
      </c>
      <c r="L16" s="7"/>
      <c r="M16" s="8"/>
      <c r="N16" s="8" t="s">
        <v>402</v>
      </c>
      <c r="O16" s="11">
        <f>WEB!C46</f>
        <v>38.22314049586777</v>
      </c>
      <c r="P16" s="16" t="str">
        <f>WEB!O46</f>
        <v>ＯＫ</v>
      </c>
      <c r="R16" s="104">
        <v>3400</v>
      </c>
      <c r="S16" s="60" t="s">
        <v>479</v>
      </c>
      <c r="T16" s="60" t="s">
        <v>507</v>
      </c>
      <c r="U16" s="60">
        <f>6*U6</f>
        <v>3438</v>
      </c>
      <c r="V16" s="60">
        <f>6*V6</f>
        <v>2970</v>
      </c>
      <c r="W16" s="60">
        <f>6*W6</f>
        <v>1877.3999999999999</v>
      </c>
      <c r="X16" s="60">
        <v>227</v>
      </c>
      <c r="Y16" s="60">
        <v>450</v>
      </c>
      <c r="Z16" s="61">
        <v>36</v>
      </c>
      <c r="AA16" s="60">
        <v>170</v>
      </c>
      <c r="AB16" s="62">
        <v>14</v>
      </c>
      <c r="AC16" s="95">
        <v>240</v>
      </c>
      <c r="AD16" s="63">
        <v>216</v>
      </c>
      <c r="AE16" s="60">
        <v>490</v>
      </c>
      <c r="AF16" s="56"/>
      <c r="AG16" s="60">
        <f t="shared" si="2"/>
        <v>520</v>
      </c>
      <c r="AH16" s="60">
        <v>330</v>
      </c>
      <c r="AI16" s="60">
        <v>304</v>
      </c>
      <c r="AJ16" s="60">
        <f t="shared" si="3"/>
        <v>36</v>
      </c>
      <c r="AK16" s="60">
        <v>32</v>
      </c>
      <c r="AL16" s="60">
        <v>32</v>
      </c>
      <c r="AM16" s="60">
        <f t="shared" si="13"/>
        <v>710</v>
      </c>
      <c r="AN16" s="60">
        <f t="shared" si="4"/>
        <v>370</v>
      </c>
      <c r="AO16" s="61">
        <v>410</v>
      </c>
      <c r="AP16" s="27">
        <v>80</v>
      </c>
      <c r="AQ16" s="27">
        <v>32</v>
      </c>
      <c r="AR16" s="27">
        <v>120</v>
      </c>
      <c r="AS16" s="27">
        <v>32</v>
      </c>
      <c r="AT16" s="104">
        <v>3400</v>
      </c>
      <c r="AU16" s="108"/>
      <c r="AV16" s="117">
        <f t="shared" si="15"/>
        <v>500</v>
      </c>
      <c r="AW16" s="117">
        <f t="shared" si="5"/>
        <v>3</v>
      </c>
      <c r="AX16" s="117">
        <f t="shared" si="0"/>
        <v>2</v>
      </c>
      <c r="AY16" s="118">
        <f t="shared" si="14"/>
        <v>8</v>
      </c>
      <c r="AZ16" s="115">
        <f t="shared" si="1"/>
        <v>41250</v>
      </c>
      <c r="BA16" s="115">
        <f t="shared" si="6"/>
        <v>52</v>
      </c>
      <c r="BB16" s="287">
        <v>6</v>
      </c>
      <c r="BC16" s="287">
        <v>4</v>
      </c>
      <c r="BD16" s="287">
        <v>0</v>
      </c>
      <c r="BE16" s="287">
        <v>4</v>
      </c>
      <c r="BF16" s="287">
        <v>4</v>
      </c>
      <c r="BG16" s="287">
        <v>0</v>
      </c>
      <c r="BH16" s="287">
        <v>2</v>
      </c>
      <c r="BI16" s="287">
        <v>8</v>
      </c>
      <c r="BJ16" s="287">
        <v>8</v>
      </c>
      <c r="BK16" s="287">
        <v>8</v>
      </c>
      <c r="BL16" s="287">
        <v>8</v>
      </c>
      <c r="BM16" s="287"/>
      <c r="BN16" s="287"/>
      <c r="BO16" s="287"/>
      <c r="BP16" s="287"/>
      <c r="BQ16" s="287">
        <v>80</v>
      </c>
      <c r="BR16" s="287">
        <v>80</v>
      </c>
      <c r="BS16" s="287">
        <v>80</v>
      </c>
      <c r="BT16" s="287">
        <v>80</v>
      </c>
      <c r="BU16" s="287">
        <v>80</v>
      </c>
      <c r="BV16" s="287">
        <v>80</v>
      </c>
      <c r="BW16" s="287">
        <v>80</v>
      </c>
      <c r="BX16" s="287">
        <v>80</v>
      </c>
      <c r="BY16" s="287">
        <v>80</v>
      </c>
      <c r="BZ16" s="365">
        <v>80</v>
      </c>
      <c r="CA16" s="287">
        <v>0</v>
      </c>
      <c r="CB16" s="287">
        <v>0</v>
      </c>
      <c r="CC16" s="287"/>
      <c r="CD16" s="287"/>
      <c r="CE16" s="104">
        <v>3400</v>
      </c>
    </row>
    <row r="17" spans="1:83" s="14" customFormat="1" ht="13.5">
      <c r="A17" s="7"/>
      <c r="B17" s="36"/>
      <c r="C17" s="389" t="s">
        <v>84</v>
      </c>
      <c r="D17" s="298">
        <f>IF(D11="その他","",D13*D14*D15/100+D16)</f>
        <v>500</v>
      </c>
      <c r="E17" s="294" t="s">
        <v>63</v>
      </c>
      <c r="F17" s="21">
        <f>$CB$22</f>
        <v>0</v>
      </c>
      <c r="G17" s="21">
        <f>$BN$22</f>
        <v>0</v>
      </c>
      <c r="H17" s="30">
        <f t="shared" si="10"/>
        <v>650</v>
      </c>
      <c r="I17" s="19">
        <f t="shared" si="7"/>
        <v>0</v>
      </c>
      <c r="J17" s="24">
        <f t="shared" si="8"/>
        <v>0</v>
      </c>
      <c r="K17" s="149">
        <f t="shared" si="9"/>
        <v>0</v>
      </c>
      <c r="L17" s="7"/>
      <c r="M17" s="8"/>
      <c r="N17" s="8" t="s">
        <v>152</v>
      </c>
      <c r="O17" s="32">
        <f>WEB!J48</f>
        <v>0.5460074242372011</v>
      </c>
      <c r="P17" s="48" t="str">
        <f>WEB!O48</f>
        <v>ＯＫ</v>
      </c>
      <c r="R17" s="105">
        <v>4000</v>
      </c>
      <c r="S17" s="25" t="s">
        <v>480</v>
      </c>
      <c r="T17" s="25" t="s">
        <v>508</v>
      </c>
      <c r="U17" s="25">
        <f>7*U6</f>
        <v>4011</v>
      </c>
      <c r="V17" s="25">
        <f>7*V6</f>
        <v>3465</v>
      </c>
      <c r="W17" s="25">
        <f>7*W6</f>
        <v>2190.2999999999997</v>
      </c>
      <c r="X17" s="25">
        <v>227</v>
      </c>
      <c r="Y17" s="25">
        <v>480</v>
      </c>
      <c r="Z17" s="64">
        <v>45</v>
      </c>
      <c r="AA17" s="25">
        <v>170</v>
      </c>
      <c r="AB17" s="65">
        <v>14</v>
      </c>
      <c r="AC17" s="95">
        <v>270</v>
      </c>
      <c r="AD17" s="66">
        <v>216</v>
      </c>
      <c r="AE17" s="25">
        <v>520</v>
      </c>
      <c r="AF17" s="18"/>
      <c r="AG17" s="60">
        <f t="shared" si="2"/>
        <v>540</v>
      </c>
      <c r="AH17" s="60">
        <v>380</v>
      </c>
      <c r="AI17" s="25">
        <v>304</v>
      </c>
      <c r="AJ17" s="60">
        <v>32</v>
      </c>
      <c r="AK17" s="25">
        <v>25</v>
      </c>
      <c r="AL17" s="25">
        <v>28</v>
      </c>
      <c r="AM17" s="60">
        <f t="shared" si="13"/>
        <v>730</v>
      </c>
      <c r="AN17" s="60">
        <f t="shared" si="4"/>
        <v>420</v>
      </c>
      <c r="AO17" s="64">
        <v>460</v>
      </c>
      <c r="AP17" s="27">
        <v>90</v>
      </c>
      <c r="AQ17" s="27">
        <f>AK17</f>
        <v>25</v>
      </c>
      <c r="AR17" s="27">
        <f t="shared" si="12"/>
        <v>90</v>
      </c>
      <c r="AS17" s="27">
        <v>25</v>
      </c>
      <c r="AT17" s="105">
        <v>4000</v>
      </c>
      <c r="AU17" s="108"/>
      <c r="AV17" s="117">
        <f t="shared" si="15"/>
        <v>530</v>
      </c>
      <c r="AW17" s="117">
        <f t="shared" si="5"/>
        <v>3</v>
      </c>
      <c r="AX17" s="117">
        <f t="shared" si="0"/>
        <v>2</v>
      </c>
      <c r="AY17" s="118">
        <f t="shared" si="14"/>
        <v>8</v>
      </c>
      <c r="AZ17" s="115">
        <f t="shared" si="1"/>
        <v>48125</v>
      </c>
      <c r="BA17" s="115">
        <f t="shared" si="6"/>
        <v>60</v>
      </c>
      <c r="BB17" s="287">
        <v>6</v>
      </c>
      <c r="BC17" s="287">
        <v>4</v>
      </c>
      <c r="BD17" s="287">
        <v>2</v>
      </c>
      <c r="BE17" s="287">
        <v>2</v>
      </c>
      <c r="BF17" s="287">
        <v>4</v>
      </c>
      <c r="BG17" s="287">
        <v>4</v>
      </c>
      <c r="BH17" s="287">
        <v>0</v>
      </c>
      <c r="BI17" s="287">
        <v>2</v>
      </c>
      <c r="BJ17" s="287">
        <v>4</v>
      </c>
      <c r="BK17" s="287">
        <v>8</v>
      </c>
      <c r="BL17" s="287">
        <v>8</v>
      </c>
      <c r="BM17" s="287">
        <v>8</v>
      </c>
      <c r="BN17" s="287">
        <v>8</v>
      </c>
      <c r="BO17" s="287"/>
      <c r="BP17" s="287"/>
      <c r="BQ17" s="287">
        <v>75</v>
      </c>
      <c r="BR17" s="287">
        <v>75</v>
      </c>
      <c r="BS17" s="287">
        <v>75</v>
      </c>
      <c r="BT17" s="287">
        <v>75</v>
      </c>
      <c r="BU17" s="287">
        <v>75</v>
      </c>
      <c r="BV17" s="287">
        <v>75</v>
      </c>
      <c r="BW17" s="287">
        <v>75</v>
      </c>
      <c r="BX17" s="287">
        <v>75</v>
      </c>
      <c r="BY17" s="287">
        <v>75</v>
      </c>
      <c r="BZ17" s="287">
        <v>75</v>
      </c>
      <c r="CA17" s="287">
        <v>75</v>
      </c>
      <c r="CB17" s="365">
        <v>75</v>
      </c>
      <c r="CC17" s="287">
        <v>0</v>
      </c>
      <c r="CD17" s="287">
        <v>0</v>
      </c>
      <c r="CE17" s="105">
        <v>4000</v>
      </c>
    </row>
    <row r="18" spans="1:83" s="6" customFormat="1" ht="13.5">
      <c r="A18" s="35"/>
      <c r="B18" s="38"/>
      <c r="C18" s="389"/>
      <c r="D18" s="293">
        <v>300</v>
      </c>
      <c r="E18" s="294" t="s">
        <v>63</v>
      </c>
      <c r="F18" s="21">
        <f>$CC$22</f>
        <v>0</v>
      </c>
      <c r="G18" s="21">
        <f>$BO$22</f>
        <v>0</v>
      </c>
      <c r="H18" s="30">
        <f t="shared" si="10"/>
        <v>650</v>
      </c>
      <c r="I18" s="19">
        <f t="shared" si="7"/>
        <v>0</v>
      </c>
      <c r="J18" s="24">
        <f t="shared" si="8"/>
        <v>0</v>
      </c>
      <c r="K18" s="149">
        <f t="shared" si="9"/>
        <v>0</v>
      </c>
      <c r="L18" s="7"/>
      <c r="M18" s="8"/>
      <c r="N18" s="8"/>
      <c r="O18" s="8"/>
      <c r="P18" s="48"/>
      <c r="R18" s="104">
        <v>4600</v>
      </c>
      <c r="S18" s="60" t="s">
        <v>481</v>
      </c>
      <c r="T18" s="60" t="s">
        <v>509</v>
      </c>
      <c r="U18" s="78">
        <f>8*U6</f>
        <v>4584</v>
      </c>
      <c r="V18" s="78">
        <f>8*V6</f>
        <v>3960</v>
      </c>
      <c r="W18" s="79">
        <f>8*W6</f>
        <v>2503.2</v>
      </c>
      <c r="X18" s="60">
        <v>247</v>
      </c>
      <c r="Y18" s="60">
        <v>520</v>
      </c>
      <c r="Z18" s="61">
        <v>45</v>
      </c>
      <c r="AA18" s="60">
        <v>180</v>
      </c>
      <c r="AB18" s="62">
        <v>19</v>
      </c>
      <c r="AC18" s="95">
        <v>270</v>
      </c>
      <c r="AD18" s="63">
        <v>216</v>
      </c>
      <c r="AE18" s="60">
        <v>560</v>
      </c>
      <c r="AF18" s="56"/>
      <c r="AG18" s="60">
        <f t="shared" si="2"/>
        <v>580</v>
      </c>
      <c r="AH18" s="60">
        <v>425</v>
      </c>
      <c r="AI18" s="60">
        <v>324</v>
      </c>
      <c r="AJ18" s="60">
        <v>32</v>
      </c>
      <c r="AK18" s="60">
        <v>28</v>
      </c>
      <c r="AL18" s="60">
        <v>32</v>
      </c>
      <c r="AM18" s="60">
        <f t="shared" si="13"/>
        <v>780</v>
      </c>
      <c r="AN18" s="60">
        <f t="shared" si="4"/>
        <v>465</v>
      </c>
      <c r="AO18" s="61">
        <v>450</v>
      </c>
      <c r="AP18" s="27">
        <v>95</v>
      </c>
      <c r="AQ18" s="27">
        <v>25</v>
      </c>
      <c r="AR18" s="27">
        <f t="shared" si="12"/>
        <v>95</v>
      </c>
      <c r="AS18" s="27">
        <v>25</v>
      </c>
      <c r="AT18" s="104">
        <v>4600</v>
      </c>
      <c r="AU18" s="108"/>
      <c r="AV18" s="117">
        <f t="shared" si="15"/>
        <v>570</v>
      </c>
      <c r="AW18" s="117">
        <f t="shared" si="5"/>
        <v>4</v>
      </c>
      <c r="AX18" s="117">
        <f t="shared" si="0"/>
        <v>2</v>
      </c>
      <c r="AY18" s="118">
        <f t="shared" si="14"/>
        <v>9</v>
      </c>
      <c r="AZ18" s="115">
        <f t="shared" si="1"/>
        <v>55000</v>
      </c>
      <c r="BA18" s="115">
        <f t="shared" si="6"/>
        <v>66</v>
      </c>
      <c r="BB18" s="287">
        <v>8</v>
      </c>
      <c r="BC18" s="287">
        <v>4</v>
      </c>
      <c r="BD18" s="287">
        <v>2</v>
      </c>
      <c r="BE18" s="287">
        <v>4</v>
      </c>
      <c r="BF18" s="287">
        <v>4</v>
      </c>
      <c r="BG18" s="287">
        <v>4</v>
      </c>
      <c r="BH18" s="287">
        <v>0</v>
      </c>
      <c r="BI18" s="287">
        <v>2</v>
      </c>
      <c r="BJ18" s="287">
        <v>2</v>
      </c>
      <c r="BK18" s="287">
        <v>9</v>
      </c>
      <c r="BL18" s="287">
        <v>9</v>
      </c>
      <c r="BM18" s="287">
        <v>9</v>
      </c>
      <c r="BN18" s="287">
        <v>9</v>
      </c>
      <c r="BO18" s="287"/>
      <c r="BP18" s="287"/>
      <c r="BQ18" s="287">
        <v>75</v>
      </c>
      <c r="BR18" s="287">
        <v>95</v>
      </c>
      <c r="BS18" s="287">
        <v>100</v>
      </c>
      <c r="BT18" s="287">
        <v>75</v>
      </c>
      <c r="BU18" s="287">
        <v>75</v>
      </c>
      <c r="BV18" s="287">
        <v>75</v>
      </c>
      <c r="BW18" s="287">
        <v>75</v>
      </c>
      <c r="BX18" s="287">
        <v>75</v>
      </c>
      <c r="BY18" s="287">
        <v>75</v>
      </c>
      <c r="BZ18" s="287">
        <v>75</v>
      </c>
      <c r="CA18" s="287">
        <v>75</v>
      </c>
      <c r="CB18" s="365">
        <v>75</v>
      </c>
      <c r="CC18" s="287">
        <v>0</v>
      </c>
      <c r="CD18" s="287">
        <v>0</v>
      </c>
      <c r="CE18" s="104">
        <v>4600</v>
      </c>
    </row>
    <row r="19" spans="1:83" s="14" customFormat="1" ht="13.5">
      <c r="A19" s="35"/>
      <c r="B19" s="38"/>
      <c r="C19" s="22"/>
      <c r="D19" s="290"/>
      <c r="E19" s="31"/>
      <c r="F19" s="283">
        <f>$CD$22</f>
        <v>0</v>
      </c>
      <c r="G19" s="21">
        <f>$BP$22</f>
        <v>0</v>
      </c>
      <c r="H19" s="28">
        <f t="shared" si="10"/>
        <v>650</v>
      </c>
      <c r="I19" s="20">
        <f t="shared" si="7"/>
        <v>0</v>
      </c>
      <c r="J19" s="112">
        <f t="shared" si="8"/>
        <v>0</v>
      </c>
      <c r="K19" s="150">
        <f t="shared" si="9"/>
        <v>0</v>
      </c>
      <c r="L19" s="7"/>
      <c r="M19" s="179" t="s">
        <v>429</v>
      </c>
      <c r="N19" s="8" t="s">
        <v>61</v>
      </c>
      <c r="O19" s="137">
        <f>STIF1!C43</f>
        <v>144.85575669856098</v>
      </c>
      <c r="P19" s="48" t="str">
        <f>STIF1!O43</f>
        <v>ＯＫ</v>
      </c>
      <c r="R19" s="104">
        <v>5200</v>
      </c>
      <c r="S19" s="60" t="s">
        <v>482</v>
      </c>
      <c r="T19" s="60" t="s">
        <v>510</v>
      </c>
      <c r="U19" s="78">
        <f>9*U6</f>
        <v>5157</v>
      </c>
      <c r="V19" s="78">
        <f>9*V6</f>
        <v>4455</v>
      </c>
      <c r="W19" s="79">
        <f>9*W6</f>
        <v>2816.1</v>
      </c>
      <c r="X19" s="60">
        <v>267</v>
      </c>
      <c r="Y19" s="60">
        <v>550</v>
      </c>
      <c r="Z19" s="61">
        <v>45</v>
      </c>
      <c r="AA19" s="60">
        <v>200</v>
      </c>
      <c r="AB19" s="62">
        <v>20</v>
      </c>
      <c r="AC19" s="95">
        <v>270</v>
      </c>
      <c r="AD19" s="63">
        <v>267</v>
      </c>
      <c r="AE19" s="60">
        <v>590</v>
      </c>
      <c r="AF19" s="56"/>
      <c r="AG19" s="60">
        <f t="shared" si="2"/>
        <v>610</v>
      </c>
      <c r="AH19" s="60">
        <v>425</v>
      </c>
      <c r="AI19" s="60">
        <v>334</v>
      </c>
      <c r="AJ19" s="60">
        <v>32</v>
      </c>
      <c r="AK19" s="60">
        <v>28</v>
      </c>
      <c r="AL19" s="60">
        <v>32</v>
      </c>
      <c r="AM19" s="111">
        <v>840</v>
      </c>
      <c r="AN19" s="60">
        <f t="shared" si="4"/>
        <v>465</v>
      </c>
      <c r="AO19" s="61">
        <v>420</v>
      </c>
      <c r="AP19" s="27">
        <v>105</v>
      </c>
      <c r="AQ19" s="27">
        <v>28</v>
      </c>
      <c r="AR19" s="27">
        <f t="shared" si="12"/>
        <v>105</v>
      </c>
      <c r="AS19" s="27">
        <v>28</v>
      </c>
      <c r="AT19" s="104">
        <v>5200</v>
      </c>
      <c r="AU19" s="108"/>
      <c r="AV19" s="117">
        <f t="shared" si="15"/>
        <v>630</v>
      </c>
      <c r="AW19" s="117">
        <f t="shared" si="5"/>
        <v>4</v>
      </c>
      <c r="AX19" s="117">
        <f t="shared" si="0"/>
        <v>3</v>
      </c>
      <c r="AY19" s="118">
        <f t="shared" si="14"/>
        <v>10</v>
      </c>
      <c r="AZ19" s="115">
        <f t="shared" si="1"/>
        <v>61875</v>
      </c>
      <c r="BA19" s="115">
        <f t="shared" si="6"/>
        <v>77</v>
      </c>
      <c r="BB19" s="287">
        <v>9</v>
      </c>
      <c r="BC19" s="287">
        <v>6</v>
      </c>
      <c r="BD19" s="287">
        <v>2</v>
      </c>
      <c r="BE19" s="287">
        <v>6</v>
      </c>
      <c r="BF19" s="287">
        <v>6</v>
      </c>
      <c r="BG19" s="287">
        <v>6</v>
      </c>
      <c r="BH19" s="287">
        <v>0</v>
      </c>
      <c r="BI19" s="287">
        <v>2</v>
      </c>
      <c r="BJ19" s="287">
        <v>2</v>
      </c>
      <c r="BK19" s="287">
        <v>9</v>
      </c>
      <c r="BL19" s="287">
        <v>9</v>
      </c>
      <c r="BM19" s="287">
        <v>9</v>
      </c>
      <c r="BN19" s="287">
        <v>11</v>
      </c>
      <c r="BO19" s="287"/>
      <c r="BP19" s="287"/>
      <c r="BQ19" s="287">
        <v>110</v>
      </c>
      <c r="BR19" s="287">
        <v>80</v>
      </c>
      <c r="BS19" s="287">
        <v>80</v>
      </c>
      <c r="BT19" s="287">
        <v>75</v>
      </c>
      <c r="BU19" s="287">
        <v>75</v>
      </c>
      <c r="BV19" s="287">
        <v>75</v>
      </c>
      <c r="BW19" s="287">
        <v>75</v>
      </c>
      <c r="BX19" s="287">
        <v>75</v>
      </c>
      <c r="BY19" s="287">
        <v>75</v>
      </c>
      <c r="BZ19" s="287">
        <v>90</v>
      </c>
      <c r="CA19" s="287">
        <v>90</v>
      </c>
      <c r="CB19" s="365">
        <v>90</v>
      </c>
      <c r="CC19" s="287">
        <v>0</v>
      </c>
      <c r="CD19" s="287">
        <v>0</v>
      </c>
      <c r="CE19" s="104">
        <v>5200</v>
      </c>
    </row>
    <row r="20" spans="1:83" s="14" customFormat="1" ht="13.5">
      <c r="A20" s="35" t="s">
        <v>155</v>
      </c>
      <c r="B20" s="8"/>
      <c r="C20" s="172" t="s">
        <v>156</v>
      </c>
      <c r="D20" s="289">
        <v>350</v>
      </c>
      <c r="E20" s="31" t="s">
        <v>64</v>
      </c>
      <c r="F20" s="284" t="s">
        <v>157</v>
      </c>
      <c r="G20" s="113">
        <f>SUM(G5:G19)</f>
        <v>16</v>
      </c>
      <c r="H20" s="76">
        <f>MAX(H5:H19)</f>
        <v>650</v>
      </c>
      <c r="I20" s="43">
        <f>SUM(I5:I19)</f>
        <v>5560</v>
      </c>
      <c r="J20" s="77">
        <f>ABS(MIN(J5:J19))</f>
        <v>302.5</v>
      </c>
      <c r="K20" s="151">
        <f>ROUND(SUM(K5:K19),0)</f>
        <v>936700</v>
      </c>
      <c r="L20" s="7"/>
      <c r="M20" s="8"/>
      <c r="N20" s="8" t="s">
        <v>402</v>
      </c>
      <c r="O20" s="8">
        <f>STIF1!C47</f>
        <v>23</v>
      </c>
      <c r="P20" s="48" t="str">
        <f>STIF1!O47</f>
        <v>ＯＫ</v>
      </c>
      <c r="R20" s="104">
        <v>5700</v>
      </c>
      <c r="S20" s="60" t="s">
        <v>483</v>
      </c>
      <c r="T20" s="60" t="s">
        <v>511</v>
      </c>
      <c r="U20" s="78">
        <f>10*U6</f>
        <v>5730</v>
      </c>
      <c r="V20" s="78">
        <f>10*V6</f>
        <v>4950</v>
      </c>
      <c r="W20" s="79">
        <f>10*W6</f>
        <v>3129</v>
      </c>
      <c r="X20" s="60">
        <v>277</v>
      </c>
      <c r="Y20" s="60">
        <v>580</v>
      </c>
      <c r="Z20" s="61">
        <v>50</v>
      </c>
      <c r="AA20" s="60">
        <v>210</v>
      </c>
      <c r="AB20" s="62">
        <v>21</v>
      </c>
      <c r="AC20" s="95">
        <v>270</v>
      </c>
      <c r="AD20" s="62">
        <v>267</v>
      </c>
      <c r="AE20" s="60">
        <v>620</v>
      </c>
      <c r="AF20" s="56"/>
      <c r="AG20" s="60">
        <f t="shared" si="2"/>
        <v>650</v>
      </c>
      <c r="AH20" s="60">
        <v>425</v>
      </c>
      <c r="AI20" s="60">
        <v>344</v>
      </c>
      <c r="AJ20" s="60">
        <v>36</v>
      </c>
      <c r="AK20" s="60">
        <v>32</v>
      </c>
      <c r="AL20" s="60">
        <v>32</v>
      </c>
      <c r="AM20" s="60">
        <v>870</v>
      </c>
      <c r="AN20" s="60">
        <f t="shared" si="4"/>
        <v>465</v>
      </c>
      <c r="AO20" s="61">
        <v>420</v>
      </c>
      <c r="AP20" s="27">
        <v>120</v>
      </c>
      <c r="AQ20" s="27">
        <v>32</v>
      </c>
      <c r="AR20" s="27">
        <f t="shared" si="12"/>
        <v>120</v>
      </c>
      <c r="AS20" s="27">
        <v>32</v>
      </c>
      <c r="AT20" s="104">
        <v>5700</v>
      </c>
      <c r="AU20" s="108"/>
      <c r="AV20" s="117">
        <f t="shared" si="15"/>
        <v>660</v>
      </c>
      <c r="AW20" s="117">
        <f t="shared" si="5"/>
        <v>4</v>
      </c>
      <c r="AX20" s="117">
        <f t="shared" si="0"/>
        <v>3</v>
      </c>
      <c r="AY20" s="118">
        <f t="shared" si="14"/>
        <v>10</v>
      </c>
      <c r="AZ20" s="115">
        <f t="shared" si="1"/>
        <v>68750</v>
      </c>
      <c r="BA20" s="115">
        <f t="shared" si="6"/>
        <v>82</v>
      </c>
      <c r="BB20" s="287">
        <v>10</v>
      </c>
      <c r="BC20" s="287">
        <v>6</v>
      </c>
      <c r="BD20" s="287">
        <v>2</v>
      </c>
      <c r="BE20" s="287">
        <v>6</v>
      </c>
      <c r="BF20" s="287">
        <v>6</v>
      </c>
      <c r="BG20" s="287">
        <v>6</v>
      </c>
      <c r="BH20" s="287">
        <v>0</v>
      </c>
      <c r="BI20" s="287">
        <v>2</v>
      </c>
      <c r="BJ20" s="287">
        <v>2</v>
      </c>
      <c r="BK20" s="287">
        <v>10</v>
      </c>
      <c r="BL20" s="287">
        <v>10</v>
      </c>
      <c r="BM20" s="287">
        <v>10</v>
      </c>
      <c r="BN20" s="287">
        <v>12</v>
      </c>
      <c r="BO20" s="287">
        <v>0</v>
      </c>
      <c r="BP20" s="287">
        <v>0</v>
      </c>
      <c r="BQ20" s="287">
        <v>100</v>
      </c>
      <c r="BR20" s="287">
        <v>85</v>
      </c>
      <c r="BS20" s="287">
        <v>85</v>
      </c>
      <c r="BT20" s="287">
        <v>75</v>
      </c>
      <c r="BU20" s="287">
        <v>75</v>
      </c>
      <c r="BV20" s="287">
        <v>75</v>
      </c>
      <c r="BW20" s="287">
        <v>75</v>
      </c>
      <c r="BX20" s="287">
        <v>75</v>
      </c>
      <c r="BY20" s="287">
        <v>75</v>
      </c>
      <c r="BZ20" s="287">
        <v>90</v>
      </c>
      <c r="CA20" s="287">
        <v>90</v>
      </c>
      <c r="CB20" s="365">
        <v>90</v>
      </c>
      <c r="CC20" s="287">
        <v>0</v>
      </c>
      <c r="CD20" s="287">
        <v>0</v>
      </c>
      <c r="CE20" s="104">
        <v>5700</v>
      </c>
    </row>
    <row r="21" spans="1:83" s="14" customFormat="1" ht="14.25">
      <c r="A21" s="400">
        <f>IF(ｹｰﾌﾞﾙﾀｲﾌﾟ&gt;3400,"注!!SM490YB⇒","")</f>
      </c>
      <c r="B21" s="401"/>
      <c r="C21" s="373" t="s">
        <v>70</v>
      </c>
      <c r="D21" s="278" t="s">
        <v>66</v>
      </c>
      <c r="E21" s="31"/>
      <c r="F21" s="134"/>
      <c r="G21" s="135"/>
      <c r="H21" s="135"/>
      <c r="I21" s="402" t="s">
        <v>159</v>
      </c>
      <c r="J21" s="403"/>
      <c r="K21" s="285"/>
      <c r="L21" s="36"/>
      <c r="M21" s="36"/>
      <c r="N21" s="8" t="s">
        <v>145</v>
      </c>
      <c r="O21" s="138">
        <f>STIF1!J49</f>
        <v>0.512545413803009</v>
      </c>
      <c r="P21" s="48" t="str">
        <f>STIF1!O49</f>
        <v>ＯＫ</v>
      </c>
      <c r="R21" s="386" t="s">
        <v>105</v>
      </c>
      <c r="S21" s="387"/>
      <c r="T21" s="387"/>
      <c r="U21" s="387"/>
      <c r="V21" s="387"/>
      <c r="W21" s="388"/>
      <c r="X21" s="6"/>
      <c r="Y21" s="26"/>
      <c r="Z21" s="26"/>
      <c r="AA21" s="6"/>
      <c r="AB21" s="6"/>
      <c r="AC21" s="6"/>
      <c r="AD21" s="6"/>
      <c r="AE21" s="6"/>
      <c r="AF21" s="18"/>
      <c r="AG21" s="26"/>
      <c r="AH21" s="26"/>
      <c r="AI21" s="26"/>
      <c r="AJ21" s="26"/>
      <c r="AK21" s="26"/>
      <c r="AL21" s="26"/>
      <c r="AM21" s="26"/>
      <c r="AN21" s="26"/>
      <c r="AO21" s="26"/>
      <c r="AP21" s="22"/>
      <c r="AQ21" s="22"/>
      <c r="AR21" s="22"/>
      <c r="AS21" s="13"/>
      <c r="AT21" s="6"/>
      <c r="AU21" s="109"/>
      <c r="AV21" s="109"/>
      <c r="AW21" s="109"/>
      <c r="AX21" s="109"/>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row>
    <row r="22" spans="1:83" s="6" customFormat="1" ht="13.5">
      <c r="A22" s="371"/>
      <c r="B22" s="372"/>
      <c r="C22" s="373" t="s">
        <v>719</v>
      </c>
      <c r="D22" s="278">
        <v>1.5</v>
      </c>
      <c r="E22" s="31"/>
      <c r="F22" s="35"/>
      <c r="G22" s="34"/>
      <c r="H22" s="34"/>
      <c r="I22" s="404">
        <f>ROUND(I20/G20,1)</f>
        <v>347.5</v>
      </c>
      <c r="J22" s="405"/>
      <c r="K22" s="37"/>
      <c r="L22" s="36"/>
      <c r="M22" s="36"/>
      <c r="N22" s="36"/>
      <c r="O22" s="36"/>
      <c r="P22" s="48"/>
      <c r="Q22" s="14"/>
      <c r="R22" s="41">
        <f>ｹｰﾌﾞﾙﾀｲﾌﾟ</f>
        <v>1000</v>
      </c>
      <c r="S22" s="41" t="str">
        <f aca="true" t="shared" si="16" ref="S22:AE22">LOOKUP($R22,$R3:$R20,S3:S20)</f>
        <v>4S15.2G</v>
      </c>
      <c r="T22" s="41" t="str">
        <f t="shared" si="16"/>
        <v>4S15.2</v>
      </c>
      <c r="U22" s="41">
        <f t="shared" si="16"/>
        <v>1044</v>
      </c>
      <c r="V22" s="41">
        <f t="shared" si="16"/>
        <v>888</v>
      </c>
      <c r="W22" s="41">
        <f t="shared" si="16"/>
        <v>554.8</v>
      </c>
      <c r="X22" s="41">
        <f t="shared" si="16"/>
        <v>133</v>
      </c>
      <c r="Y22" s="41">
        <f t="shared" si="16"/>
        <v>250</v>
      </c>
      <c r="Z22" s="41">
        <f t="shared" si="16"/>
        <v>19</v>
      </c>
      <c r="AA22" s="41">
        <f t="shared" si="16"/>
        <v>105</v>
      </c>
      <c r="AB22" s="41">
        <f t="shared" si="16"/>
        <v>10</v>
      </c>
      <c r="AC22" s="41">
        <f t="shared" si="16"/>
        <v>180</v>
      </c>
      <c r="AD22" s="41">
        <f t="shared" si="16"/>
        <v>140</v>
      </c>
      <c r="AE22" s="41">
        <f t="shared" si="16"/>
        <v>290</v>
      </c>
      <c r="AF22" s="55"/>
      <c r="AG22" s="45">
        <f aca="true" t="shared" si="17" ref="AG22:AS22">LOOKUP($R22,$R3:$R20,AG3:AG20)</f>
        <v>290</v>
      </c>
      <c r="AH22" s="45">
        <f t="shared" si="17"/>
        <v>240</v>
      </c>
      <c r="AI22" s="45">
        <f t="shared" si="17"/>
        <v>214</v>
      </c>
      <c r="AJ22" s="45">
        <f t="shared" si="17"/>
        <v>22</v>
      </c>
      <c r="AK22" s="45">
        <f t="shared" si="17"/>
        <v>22</v>
      </c>
      <c r="AL22" s="45">
        <f t="shared" si="17"/>
        <v>22</v>
      </c>
      <c r="AM22" s="45">
        <f t="shared" si="17"/>
        <v>480</v>
      </c>
      <c r="AN22" s="45">
        <f t="shared" si="17"/>
        <v>280</v>
      </c>
      <c r="AO22" s="45">
        <f t="shared" si="17"/>
        <v>310</v>
      </c>
      <c r="AP22" s="45">
        <f t="shared" si="17"/>
        <v>50</v>
      </c>
      <c r="AQ22" s="45">
        <f t="shared" si="17"/>
        <v>22</v>
      </c>
      <c r="AR22" s="45">
        <f t="shared" si="17"/>
        <v>80</v>
      </c>
      <c r="AS22" s="45">
        <f t="shared" si="17"/>
        <v>22</v>
      </c>
      <c r="AT22" s="9"/>
      <c r="AU22" s="110"/>
      <c r="AV22" s="110"/>
      <c r="AW22" s="110"/>
      <c r="AX22" s="110"/>
      <c r="AY22" s="9"/>
      <c r="AZ22" s="9"/>
      <c r="BA22" s="9"/>
      <c r="BB22" s="45">
        <f aca="true" t="shared" si="18" ref="BB22:CE22">LOOKUP($R22,$R3:$R20,BB3:BB20)</f>
        <v>4</v>
      </c>
      <c r="BC22" s="45">
        <f t="shared" si="18"/>
        <v>2</v>
      </c>
      <c r="BD22" s="45">
        <f t="shared" si="18"/>
        <v>2</v>
      </c>
      <c r="BE22" s="45">
        <f t="shared" si="18"/>
        <v>0</v>
      </c>
      <c r="BF22" s="45">
        <f t="shared" si="18"/>
        <v>2</v>
      </c>
      <c r="BG22" s="45">
        <f t="shared" si="18"/>
        <v>2</v>
      </c>
      <c r="BH22" s="45">
        <f t="shared" si="18"/>
        <v>4</v>
      </c>
      <c r="BI22" s="45">
        <f t="shared" si="18"/>
        <v>0</v>
      </c>
      <c r="BJ22" s="45">
        <f t="shared" si="18"/>
        <v>0</v>
      </c>
      <c r="BK22" s="45">
        <f t="shared" si="18"/>
        <v>0</v>
      </c>
      <c r="BL22" s="45">
        <f t="shared" si="18"/>
        <v>0</v>
      </c>
      <c r="BM22" s="45">
        <f t="shared" si="18"/>
        <v>0</v>
      </c>
      <c r="BN22" s="45">
        <f t="shared" si="18"/>
        <v>0</v>
      </c>
      <c r="BO22" s="45">
        <f t="shared" si="18"/>
        <v>0</v>
      </c>
      <c r="BP22" s="45">
        <f t="shared" si="18"/>
        <v>0</v>
      </c>
      <c r="BQ22" s="45">
        <f t="shared" si="18"/>
        <v>80</v>
      </c>
      <c r="BR22" s="45">
        <f t="shared" si="18"/>
        <v>120</v>
      </c>
      <c r="BS22" s="45">
        <f t="shared" si="18"/>
        <v>100</v>
      </c>
      <c r="BT22" s="45">
        <f t="shared" si="18"/>
        <v>100</v>
      </c>
      <c r="BU22" s="45">
        <f t="shared" si="18"/>
        <v>100</v>
      </c>
      <c r="BV22" s="45">
        <f t="shared" si="18"/>
        <v>100</v>
      </c>
      <c r="BW22" s="45">
        <f t="shared" si="18"/>
        <v>0</v>
      </c>
      <c r="BX22" s="45">
        <f t="shared" si="18"/>
        <v>0</v>
      </c>
      <c r="BY22" s="45">
        <f t="shared" si="18"/>
        <v>0</v>
      </c>
      <c r="BZ22" s="45">
        <f t="shared" si="18"/>
        <v>0</v>
      </c>
      <c r="CA22" s="45">
        <f t="shared" si="18"/>
        <v>0</v>
      </c>
      <c r="CB22" s="45">
        <f t="shared" si="18"/>
        <v>0</v>
      </c>
      <c r="CC22" s="45">
        <f t="shared" si="18"/>
        <v>0</v>
      </c>
      <c r="CD22" s="45">
        <f t="shared" si="18"/>
        <v>0</v>
      </c>
      <c r="CE22" s="45">
        <f t="shared" si="18"/>
        <v>1000</v>
      </c>
    </row>
    <row r="23" spans="1:83" s="9" customFormat="1" ht="15.75">
      <c r="A23" s="35"/>
      <c r="B23" s="38"/>
      <c r="C23" s="38" t="s">
        <v>359</v>
      </c>
      <c r="D23" s="81">
        <f>S37*D22</f>
        <v>210</v>
      </c>
      <c r="E23" s="146" t="s">
        <v>361</v>
      </c>
      <c r="F23" s="345" t="s">
        <v>683</v>
      </c>
      <c r="G23" s="127"/>
      <c r="H23" s="127"/>
      <c r="I23" s="102"/>
      <c r="J23" s="36"/>
      <c r="K23" s="37"/>
      <c r="L23" s="36"/>
      <c r="M23" s="179" t="s">
        <v>430</v>
      </c>
      <c r="N23" s="8" t="s">
        <v>61</v>
      </c>
      <c r="O23" s="137">
        <f>STIF2!C38</f>
        <v>152.47483736329536</v>
      </c>
      <c r="P23" s="48" t="str">
        <f>STIF2!O38</f>
        <v>ＯＫ</v>
      </c>
      <c r="Q23" s="14"/>
      <c r="R23" s="14"/>
      <c r="S23" s="14"/>
      <c r="T23" s="14"/>
      <c r="U23" s="57"/>
      <c r="V23" s="57"/>
      <c r="W23" s="57"/>
      <c r="X23" s="57"/>
      <c r="Y23" s="56"/>
      <c r="Z23" s="56"/>
      <c r="AA23" s="56"/>
      <c r="AB23" s="56"/>
      <c r="AC23" s="56"/>
      <c r="AD23" s="56"/>
      <c r="AE23" s="56"/>
      <c r="AF23" s="56"/>
      <c r="AG23" s="56"/>
      <c r="AH23" s="56"/>
      <c r="AI23" s="56"/>
      <c r="AJ23" s="56"/>
      <c r="AK23" s="56"/>
      <c r="AL23" s="56"/>
      <c r="AM23" s="56"/>
      <c r="AN23" s="56"/>
      <c r="AO23" s="56"/>
      <c r="AP23" s="56"/>
      <c r="AQ23" s="56"/>
      <c r="AR23" s="56"/>
      <c r="AS23" s="56"/>
      <c r="AT23" s="94"/>
      <c r="AU23" s="94"/>
      <c r="AV23" s="94"/>
      <c r="AW23" s="94"/>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row>
    <row r="24" spans="1:39" ht="15.75">
      <c r="A24" s="35"/>
      <c r="B24" s="38"/>
      <c r="C24" s="38" t="s">
        <v>360</v>
      </c>
      <c r="D24" s="81">
        <f>T37*D22</f>
        <v>120</v>
      </c>
      <c r="E24" s="146" t="s">
        <v>361</v>
      </c>
      <c r="H24" s="357" t="s">
        <v>703</v>
      </c>
      <c r="I24" s="369">
        <f>AB32</f>
        <v>22</v>
      </c>
      <c r="J24" s="142" t="s">
        <v>403</v>
      </c>
      <c r="K24" s="128"/>
      <c r="L24" s="36"/>
      <c r="M24" s="36"/>
      <c r="N24" s="8" t="s">
        <v>402</v>
      </c>
      <c r="O24" s="137">
        <f>STIF2!C41</f>
        <v>39</v>
      </c>
      <c r="P24" s="48" t="str">
        <f>STIF2!O41</f>
        <v>ＯＫ</v>
      </c>
      <c r="R24" s="84" t="s">
        <v>167</v>
      </c>
      <c r="S24" s="85" t="s">
        <v>168</v>
      </c>
      <c r="T24" s="85" t="s">
        <v>169</v>
      </c>
      <c r="U24" s="334" t="s">
        <v>676</v>
      </c>
      <c r="V24" s="334" t="s">
        <v>677</v>
      </c>
      <c r="X24" s="85" t="s">
        <v>72</v>
      </c>
      <c r="Y24" s="86" t="s">
        <v>73</v>
      </c>
      <c r="Z24" s="17" t="s">
        <v>74</v>
      </c>
      <c r="AA24" s="17" t="s">
        <v>635</v>
      </c>
      <c r="AB24" s="358" t="s">
        <v>705</v>
      </c>
      <c r="AC24" s="358" t="s">
        <v>706</v>
      </c>
      <c r="AG24" s="390" t="s">
        <v>711</v>
      </c>
      <c r="AH24" s="391"/>
      <c r="AI24" s="391"/>
      <c r="AJ24" s="391"/>
      <c r="AK24" s="392"/>
      <c r="AL24" s="393" t="s">
        <v>712</v>
      </c>
      <c r="AM24" s="393" t="s">
        <v>718</v>
      </c>
    </row>
    <row r="25" spans="1:83" ht="15.75">
      <c r="A25" s="35"/>
      <c r="B25" s="38"/>
      <c r="C25" s="331" t="s">
        <v>673</v>
      </c>
      <c r="D25" s="332">
        <f>U37</f>
        <v>400</v>
      </c>
      <c r="E25" s="333" t="s">
        <v>674</v>
      </c>
      <c r="H25" s="357" t="s">
        <v>704</v>
      </c>
      <c r="I25" s="370">
        <f>AC32</f>
        <v>24.5</v>
      </c>
      <c r="J25" s="142" t="s">
        <v>403</v>
      </c>
      <c r="K25" s="128"/>
      <c r="L25" s="36"/>
      <c r="M25" s="36"/>
      <c r="N25" s="8" t="s">
        <v>145</v>
      </c>
      <c r="O25" s="138">
        <f>STIF2!J43</f>
        <v>0.6328035947610742</v>
      </c>
      <c r="P25" s="48" t="str">
        <f>STIF2!O43</f>
        <v>ＯＫ</v>
      </c>
      <c r="R25" s="44" t="s">
        <v>66</v>
      </c>
      <c r="S25" s="25">
        <v>140</v>
      </c>
      <c r="T25" s="25">
        <v>80</v>
      </c>
      <c r="U25" s="296">
        <v>400</v>
      </c>
      <c r="V25" s="296">
        <v>235</v>
      </c>
      <c r="X25" s="44" t="s">
        <v>171</v>
      </c>
      <c r="Y25" s="44">
        <v>48</v>
      </c>
      <c r="Z25" s="44">
        <v>160</v>
      </c>
      <c r="AA25" s="44">
        <v>273</v>
      </c>
      <c r="AB25" s="87">
        <v>22</v>
      </c>
      <c r="AC25" s="87">
        <v>24.5</v>
      </c>
      <c r="AD25" s="18"/>
      <c r="AE25" s="18"/>
      <c r="AF25" s="18"/>
      <c r="AG25" s="396" t="s">
        <v>53</v>
      </c>
      <c r="AH25" s="397" t="s">
        <v>713</v>
      </c>
      <c r="AI25" s="398"/>
      <c r="AJ25" s="397" t="s">
        <v>714</v>
      </c>
      <c r="AK25" s="398"/>
      <c r="AL25" s="394"/>
      <c r="AM25" s="394"/>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row>
    <row r="26" spans="1:39" s="18" customFormat="1" ht="15.75">
      <c r="A26" s="35"/>
      <c r="B26" s="38"/>
      <c r="C26" s="331" t="s">
        <v>675</v>
      </c>
      <c r="D26" s="332">
        <f>V37</f>
        <v>235</v>
      </c>
      <c r="E26" s="333" t="s">
        <v>674</v>
      </c>
      <c r="H26" s="360" t="s">
        <v>708</v>
      </c>
      <c r="I26" s="369">
        <f>Y32</f>
        <v>48</v>
      </c>
      <c r="J26" s="142" t="s">
        <v>710</v>
      </c>
      <c r="K26" s="133"/>
      <c r="L26" s="36"/>
      <c r="M26" s="36"/>
      <c r="N26" s="36"/>
      <c r="O26" s="36"/>
      <c r="P26" s="48"/>
      <c r="R26" s="44" t="s">
        <v>173</v>
      </c>
      <c r="S26" s="25">
        <v>140</v>
      </c>
      <c r="T26" s="25">
        <v>80</v>
      </c>
      <c r="U26" s="296">
        <v>400</v>
      </c>
      <c r="V26" s="296">
        <v>235</v>
      </c>
      <c r="X26" s="44" t="s">
        <v>174</v>
      </c>
      <c r="Y26" s="44">
        <v>39</v>
      </c>
      <c r="Z26" s="44">
        <f>ROUND(AA26/1.7,-1)</f>
        <v>110</v>
      </c>
      <c r="AA26" s="44">
        <f>ROUND(640*303/1000,0)</f>
        <v>194</v>
      </c>
      <c r="AB26" s="359">
        <v>22</v>
      </c>
      <c r="AC26" s="87">
        <v>24.5</v>
      </c>
      <c r="AG26" s="396"/>
      <c r="AH26" s="379" t="s">
        <v>715</v>
      </c>
      <c r="AI26" s="379" t="s">
        <v>716</v>
      </c>
      <c r="AJ26" s="379" t="s">
        <v>715</v>
      </c>
      <c r="AK26" s="379" t="s">
        <v>716</v>
      </c>
      <c r="AL26" s="394"/>
      <c r="AM26" s="394"/>
    </row>
    <row r="27" spans="1:42" s="18" customFormat="1" ht="13.5">
      <c r="A27" s="10" t="s">
        <v>244</v>
      </c>
      <c r="B27" s="34"/>
      <c r="C27" s="34"/>
      <c r="D27" s="34"/>
      <c r="E27" s="286"/>
      <c r="H27" s="360" t="s">
        <v>709</v>
      </c>
      <c r="I27" s="369">
        <f>Z32</f>
        <v>160</v>
      </c>
      <c r="J27" s="142" t="s">
        <v>710</v>
      </c>
      <c r="K27" s="133"/>
      <c r="L27" s="36"/>
      <c r="M27" s="8" t="s">
        <v>431</v>
      </c>
      <c r="N27" s="8" t="s">
        <v>158</v>
      </c>
      <c r="O27" s="11">
        <f>'引張接合'!L20</f>
        <v>0</v>
      </c>
      <c r="P27" s="16" t="str">
        <f>'引張接合'!I11</f>
        <v>ＯＫ</v>
      </c>
      <c r="R27" s="44" t="s">
        <v>67</v>
      </c>
      <c r="S27" s="25">
        <v>185</v>
      </c>
      <c r="T27" s="25">
        <v>105</v>
      </c>
      <c r="U27" s="296">
        <v>490</v>
      </c>
      <c r="V27" s="296">
        <v>315</v>
      </c>
      <c r="X27" s="44" t="s">
        <v>176</v>
      </c>
      <c r="Y27" s="44">
        <v>48</v>
      </c>
      <c r="Z27" s="44">
        <v>160</v>
      </c>
      <c r="AA27" s="44">
        <v>273</v>
      </c>
      <c r="AB27" s="87">
        <v>22</v>
      </c>
      <c r="AC27" s="87">
        <v>24.5</v>
      </c>
      <c r="AG27" s="396"/>
      <c r="AH27" s="380"/>
      <c r="AI27" s="380"/>
      <c r="AJ27" s="380"/>
      <c r="AK27" s="380"/>
      <c r="AL27" s="395"/>
      <c r="AM27" s="395"/>
      <c r="AP27" s="297"/>
    </row>
    <row r="28" spans="1:39" s="18" customFormat="1" ht="13.5">
      <c r="A28" s="46"/>
      <c r="B28" s="82" t="s">
        <v>458</v>
      </c>
      <c r="C28" s="46" t="s">
        <v>163</v>
      </c>
      <c r="D28" s="83" t="s">
        <v>164</v>
      </c>
      <c r="E28" s="287" t="s">
        <v>238</v>
      </c>
      <c r="H28" s="361" t="s">
        <v>635</v>
      </c>
      <c r="I28" s="369">
        <f>AA32</f>
        <v>273</v>
      </c>
      <c r="J28" s="142" t="s">
        <v>292</v>
      </c>
      <c r="K28" s="133"/>
      <c r="L28" s="36"/>
      <c r="M28" s="8"/>
      <c r="N28" s="8" t="s">
        <v>681</v>
      </c>
      <c r="O28" s="11">
        <f>'引張接合'!B95</f>
        <v>129.47962239944408</v>
      </c>
      <c r="P28" s="16" t="str">
        <f>'引張接合'!I95</f>
        <v>ＯＫ</v>
      </c>
      <c r="R28" s="44" t="s">
        <v>178</v>
      </c>
      <c r="S28" s="25">
        <v>185</v>
      </c>
      <c r="T28" s="25">
        <v>105</v>
      </c>
      <c r="U28" s="296">
        <v>490</v>
      </c>
      <c r="V28" s="296">
        <v>315</v>
      </c>
      <c r="X28" s="44" t="s">
        <v>707</v>
      </c>
      <c r="Y28" s="44">
        <v>56</v>
      </c>
      <c r="Z28" s="44">
        <v>185</v>
      </c>
      <c r="AA28" s="44">
        <v>318</v>
      </c>
      <c r="AB28" s="87">
        <v>24</v>
      </c>
      <c r="AC28" s="87">
        <v>26.5</v>
      </c>
      <c r="AG28" s="366">
        <v>180</v>
      </c>
      <c r="AH28" s="46">
        <v>50</v>
      </c>
      <c r="AI28" s="46">
        <v>50</v>
      </c>
      <c r="AJ28" s="367">
        <v>90</v>
      </c>
      <c r="AK28" s="367">
        <v>110</v>
      </c>
      <c r="AL28" s="367">
        <v>28</v>
      </c>
      <c r="AM28" s="367">
        <v>2</v>
      </c>
    </row>
    <row r="29" spans="1:39" s="18" customFormat="1" ht="13.5">
      <c r="A29" s="328" t="s">
        <v>671</v>
      </c>
      <c r="B29" s="5">
        <f>AL47</f>
        <v>28</v>
      </c>
      <c r="C29" s="2">
        <v>0</v>
      </c>
      <c r="D29" s="47">
        <f aca="true" t="shared" si="19" ref="D29:D34">IF(C29=0,B29,C29)</f>
        <v>28</v>
      </c>
      <c r="E29" s="329"/>
      <c r="G29" s="127" t="s">
        <v>684</v>
      </c>
      <c r="H29" s="127"/>
      <c r="I29" s="370">
        <f>AM47</f>
        <v>2</v>
      </c>
      <c r="J29" s="127" t="s">
        <v>392</v>
      </c>
      <c r="K29" s="128"/>
      <c r="L29" s="36"/>
      <c r="M29" s="36"/>
      <c r="N29" s="36" t="s">
        <v>682</v>
      </c>
      <c r="O29" s="344">
        <f>MAX('引張接合'!B137,'引張接合'!B144)</f>
        <v>26.194971787358295</v>
      </c>
      <c r="P29" s="16" t="str">
        <f>'引張接合'!I146</f>
        <v>ＯＫ</v>
      </c>
      <c r="R29" s="44" t="s">
        <v>449</v>
      </c>
      <c r="S29" s="25">
        <v>210</v>
      </c>
      <c r="T29" s="25">
        <v>120</v>
      </c>
      <c r="U29" s="296">
        <v>490</v>
      </c>
      <c r="V29" s="296">
        <v>355</v>
      </c>
      <c r="X29" s="44" t="s">
        <v>179</v>
      </c>
      <c r="Y29" s="44">
        <v>48</v>
      </c>
      <c r="Z29" s="44">
        <v>160</v>
      </c>
      <c r="AA29" s="44">
        <v>273</v>
      </c>
      <c r="AB29" s="87">
        <v>22</v>
      </c>
      <c r="AC29" s="87">
        <v>24.5</v>
      </c>
      <c r="AG29" s="368">
        <v>260</v>
      </c>
      <c r="AH29" s="46">
        <v>50</v>
      </c>
      <c r="AI29" s="46">
        <v>50</v>
      </c>
      <c r="AJ29" s="367">
        <v>90</v>
      </c>
      <c r="AK29" s="367">
        <v>120</v>
      </c>
      <c r="AL29" s="367">
        <v>28</v>
      </c>
      <c r="AM29" s="367">
        <v>2</v>
      </c>
    </row>
    <row r="30" spans="1:39" s="18" customFormat="1" ht="13.5">
      <c r="A30" s="328" t="s">
        <v>672</v>
      </c>
      <c r="B30" s="5">
        <f>I47</f>
        <v>17</v>
      </c>
      <c r="C30" s="2">
        <v>0</v>
      </c>
      <c r="D30" s="3">
        <f t="shared" si="19"/>
        <v>17</v>
      </c>
      <c r="E30" s="330"/>
      <c r="G30" s="127"/>
      <c r="H30" s="346" t="s">
        <v>689</v>
      </c>
      <c r="I30" s="370">
        <f>AJ47</f>
        <v>100</v>
      </c>
      <c r="J30" s="127" t="s">
        <v>685</v>
      </c>
      <c r="K30" s="347" t="str">
        <f>'引張接合'!H70*3.5&amp;"）"</f>
        <v>180.25）</v>
      </c>
      <c r="L30" s="36"/>
      <c r="M30" s="36"/>
      <c r="N30" s="36"/>
      <c r="O30" s="80"/>
      <c r="P30" s="16"/>
      <c r="R30" s="44" t="s">
        <v>286</v>
      </c>
      <c r="S30" s="25">
        <v>210</v>
      </c>
      <c r="T30" s="25">
        <v>120</v>
      </c>
      <c r="U30" s="296">
        <v>490</v>
      </c>
      <c r="V30" s="296">
        <v>355</v>
      </c>
      <c r="X30" s="29"/>
      <c r="Y30" s="29"/>
      <c r="Z30" s="40"/>
      <c r="AA30" s="40"/>
      <c r="AG30" s="368">
        <v>390</v>
      </c>
      <c r="AH30" s="46">
        <v>50</v>
      </c>
      <c r="AI30" s="46">
        <v>50</v>
      </c>
      <c r="AJ30" s="367">
        <v>110</v>
      </c>
      <c r="AK30" s="367">
        <v>120</v>
      </c>
      <c r="AL30" s="367">
        <v>28</v>
      </c>
      <c r="AM30" s="367">
        <v>2</v>
      </c>
    </row>
    <row r="31" spans="1:39" s="18" customFormat="1" ht="13.5">
      <c r="A31" s="15" t="s">
        <v>166</v>
      </c>
      <c r="B31" s="39">
        <f>AJ22</f>
        <v>22</v>
      </c>
      <c r="C31" s="2">
        <v>0</v>
      </c>
      <c r="D31" s="3">
        <f t="shared" si="19"/>
        <v>22</v>
      </c>
      <c r="E31" s="288"/>
      <c r="G31" s="142"/>
      <c r="H31" s="346" t="s">
        <v>686</v>
      </c>
      <c r="I31" s="370">
        <f>AH47</f>
        <v>50</v>
      </c>
      <c r="J31" s="142" t="s">
        <v>403</v>
      </c>
      <c r="K31" s="133"/>
      <c r="L31" s="36"/>
      <c r="M31" s="52" t="s">
        <v>160</v>
      </c>
      <c r="N31" s="53"/>
      <c r="O31" s="54"/>
      <c r="P31" s="16"/>
      <c r="R31" s="44" t="s">
        <v>68</v>
      </c>
      <c r="S31" s="25">
        <v>140</v>
      </c>
      <c r="T31" s="25">
        <v>80</v>
      </c>
      <c r="U31" s="296">
        <v>400</v>
      </c>
      <c r="V31" s="296">
        <v>235</v>
      </c>
      <c r="X31" s="87" t="s">
        <v>75</v>
      </c>
      <c r="Y31" s="42" t="s">
        <v>73</v>
      </c>
      <c r="Z31" s="43" t="s">
        <v>74</v>
      </c>
      <c r="AA31" s="43" t="str">
        <f>AA24</f>
        <v>降伏ボルト軸力</v>
      </c>
      <c r="AB31" s="43" t="str">
        <f>AB24</f>
        <v>呼び径</v>
      </c>
      <c r="AC31" s="43" t="str">
        <f>AC24</f>
        <v>孔径</v>
      </c>
      <c r="AG31" s="368">
        <v>570</v>
      </c>
      <c r="AH31" s="46">
        <v>50</v>
      </c>
      <c r="AI31" s="46">
        <v>50</v>
      </c>
      <c r="AJ31" s="367">
        <v>110</v>
      </c>
      <c r="AK31" s="367">
        <v>120</v>
      </c>
      <c r="AL31" s="367">
        <v>28</v>
      </c>
      <c r="AM31" s="367">
        <v>2</v>
      </c>
    </row>
    <row r="32" spans="1:83" s="18" customFormat="1" ht="13.5">
      <c r="A32" s="15" t="s">
        <v>170</v>
      </c>
      <c r="B32" s="23">
        <f>AM22</f>
        <v>480</v>
      </c>
      <c r="C32" s="2">
        <v>0</v>
      </c>
      <c r="D32" s="3">
        <f t="shared" si="19"/>
        <v>480</v>
      </c>
      <c r="E32" s="97"/>
      <c r="G32" s="142"/>
      <c r="H32" s="346" t="s">
        <v>688</v>
      </c>
      <c r="I32" s="370">
        <f>AK47</f>
        <v>125</v>
      </c>
      <c r="J32" s="341" t="s">
        <v>687</v>
      </c>
      <c r="K32" s="133"/>
      <c r="L32" s="36"/>
      <c r="M32" s="22" t="s">
        <v>161</v>
      </c>
      <c r="N32" s="22"/>
      <c r="O32" s="22" t="s">
        <v>162</v>
      </c>
      <c r="P32" s="16"/>
      <c r="R32" s="44" t="s">
        <v>183</v>
      </c>
      <c r="S32" s="25">
        <v>140</v>
      </c>
      <c r="T32" s="25">
        <v>80</v>
      </c>
      <c r="U32" s="296">
        <v>400</v>
      </c>
      <c r="V32" s="296">
        <v>235</v>
      </c>
      <c r="X32" s="88" t="str">
        <f>I2</f>
        <v>S10T,M22</v>
      </c>
      <c r="Y32" s="89">
        <f>VLOOKUP(X32,X25:Z29,2)</f>
        <v>48</v>
      </c>
      <c r="Z32" s="89">
        <f>VLOOKUP(X32,X25:Z29,3)</f>
        <v>160</v>
      </c>
      <c r="AA32" s="89">
        <f>VLOOKUP(X32,X25:AA29,4)</f>
        <v>273</v>
      </c>
      <c r="AB32" s="89">
        <f>VLOOKUP(X32,X25:AB29,5)</f>
        <v>22</v>
      </c>
      <c r="AC32" s="89">
        <f>VLOOKUP(X32,X25:AC27,6)</f>
        <v>24.5</v>
      </c>
      <c r="AD32" s="56"/>
      <c r="AE32" s="56"/>
      <c r="AF32" s="56"/>
      <c r="AG32" s="368">
        <v>730</v>
      </c>
      <c r="AH32" s="46">
        <v>50</v>
      </c>
      <c r="AI32" s="46">
        <v>50</v>
      </c>
      <c r="AJ32" s="46">
        <f>AH32+BU7/2</f>
        <v>100</v>
      </c>
      <c r="AK32" s="367">
        <v>120</v>
      </c>
      <c r="AL32" s="367">
        <v>28</v>
      </c>
      <c r="AM32" s="367">
        <v>2</v>
      </c>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row>
    <row r="33" spans="1:39" ht="13.5">
      <c r="A33" s="12" t="s">
        <v>172</v>
      </c>
      <c r="B33" s="22">
        <f>AG22</f>
        <v>290</v>
      </c>
      <c r="C33" s="2">
        <v>0</v>
      </c>
      <c r="D33" s="3">
        <f t="shared" si="19"/>
        <v>290</v>
      </c>
      <c r="E33" s="97"/>
      <c r="F33" s="126"/>
      <c r="G33" s="142"/>
      <c r="H33" s="346" t="s">
        <v>690</v>
      </c>
      <c r="I33" s="370">
        <f>AI47</f>
        <v>50</v>
      </c>
      <c r="J33" s="142" t="s">
        <v>403</v>
      </c>
      <c r="K33" s="133"/>
      <c r="L33" s="36"/>
      <c r="M33" s="139">
        <f>D32+60</f>
        <v>540</v>
      </c>
      <c r="N33" s="139" t="s">
        <v>165</v>
      </c>
      <c r="O33" s="140">
        <f>(SUM(F5:F19)+F5)</f>
        <v>700</v>
      </c>
      <c r="P33" s="16"/>
      <c r="R33" s="85" t="s">
        <v>69</v>
      </c>
      <c r="S33" s="60">
        <v>210</v>
      </c>
      <c r="T33" s="60">
        <v>120</v>
      </c>
      <c r="U33" s="296">
        <v>490</v>
      </c>
      <c r="V33" s="296">
        <v>355</v>
      </c>
      <c r="AG33" s="368">
        <v>1000</v>
      </c>
      <c r="AH33" s="46">
        <v>50</v>
      </c>
      <c r="AI33" s="46">
        <v>50</v>
      </c>
      <c r="AJ33" s="46">
        <f>AH33+BV8/2</f>
        <v>100</v>
      </c>
      <c r="AK33" s="367">
        <v>125</v>
      </c>
      <c r="AL33" s="367">
        <v>28</v>
      </c>
      <c r="AM33" s="367">
        <v>2</v>
      </c>
    </row>
    <row r="34" spans="1:39" ht="13.5">
      <c r="A34" s="12" t="s">
        <v>175</v>
      </c>
      <c r="B34" s="22">
        <f>AK22</f>
        <v>22</v>
      </c>
      <c r="C34" s="2">
        <v>0</v>
      </c>
      <c r="D34" s="3">
        <f t="shared" si="19"/>
        <v>22</v>
      </c>
      <c r="E34" s="98"/>
      <c r="F34" s="126"/>
      <c r="G34" s="142"/>
      <c r="H34" s="346" t="s">
        <v>691</v>
      </c>
      <c r="I34" s="370">
        <f>ROUNDUP(SQRT(2*MAX(D29,D38)),0)</f>
        <v>8</v>
      </c>
      <c r="J34" s="142" t="s">
        <v>403</v>
      </c>
      <c r="K34" s="133"/>
      <c r="L34" s="36"/>
      <c r="M34" s="139"/>
      <c r="N34" s="139"/>
      <c r="O34" s="140"/>
      <c r="P34" s="16"/>
      <c r="R34" s="85" t="s">
        <v>186</v>
      </c>
      <c r="S34" s="60">
        <v>210</v>
      </c>
      <c r="T34" s="60">
        <v>120</v>
      </c>
      <c r="U34" s="296">
        <v>490</v>
      </c>
      <c r="V34" s="296">
        <v>355</v>
      </c>
      <c r="X34" s="85" t="s">
        <v>239</v>
      </c>
      <c r="Y34" s="17" t="s">
        <v>240</v>
      </c>
      <c r="AG34" s="368">
        <v>1300</v>
      </c>
      <c r="AH34" s="46">
        <v>50</v>
      </c>
      <c r="AI34" s="46">
        <v>50</v>
      </c>
      <c r="AJ34" s="367">
        <v>110</v>
      </c>
      <c r="AK34" s="367">
        <v>120</v>
      </c>
      <c r="AL34" s="367">
        <v>28</v>
      </c>
      <c r="AM34" s="367">
        <v>4</v>
      </c>
    </row>
    <row r="35" spans="1:39" ht="13.5">
      <c r="A35" s="12" t="s">
        <v>177</v>
      </c>
      <c r="B35" s="22">
        <f>AH22</f>
        <v>240</v>
      </c>
      <c r="C35" s="2">
        <v>0</v>
      </c>
      <c r="D35" s="3">
        <f>IF(C35=0,MIN(12*D34,B35),MIN(12*D34,C35))</f>
        <v>240</v>
      </c>
      <c r="E35" s="99"/>
      <c r="F35" s="345"/>
      <c r="G35" s="142"/>
      <c r="H35" s="357" t="s">
        <v>702</v>
      </c>
      <c r="I35" s="370">
        <f>I47</f>
        <v>17</v>
      </c>
      <c r="J35" s="142" t="s">
        <v>403</v>
      </c>
      <c r="K35" s="133"/>
      <c r="L35" s="36"/>
      <c r="M35" s="52" t="s">
        <v>249</v>
      </c>
      <c r="N35" s="139"/>
      <c r="O35" s="140"/>
      <c r="P35" s="16"/>
      <c r="U35" s="55"/>
      <c r="V35" s="55"/>
      <c r="X35" s="44">
        <v>21</v>
      </c>
      <c r="Y35" s="44">
        <v>0.85</v>
      </c>
      <c r="AG35" s="368">
        <v>1500</v>
      </c>
      <c r="AH35" s="46">
        <v>50</v>
      </c>
      <c r="AI35" s="46">
        <v>50</v>
      </c>
      <c r="AJ35" s="367">
        <v>85</v>
      </c>
      <c r="AK35" s="367">
        <v>125</v>
      </c>
      <c r="AL35" s="367">
        <v>28</v>
      </c>
      <c r="AM35" s="367">
        <v>6</v>
      </c>
    </row>
    <row r="36" spans="1:39" ht="13.5">
      <c r="A36" s="328" t="s">
        <v>229</v>
      </c>
      <c r="B36" s="5">
        <f>AC22</f>
        <v>180</v>
      </c>
      <c r="C36" s="2">
        <v>0</v>
      </c>
      <c r="D36" s="3">
        <f>IF(C36=0,B36,C36)</f>
        <v>180</v>
      </c>
      <c r="E36" s="350"/>
      <c r="F36" s="345"/>
      <c r="K36" s="128"/>
      <c r="L36" s="36"/>
      <c r="M36" s="22" t="s">
        <v>161</v>
      </c>
      <c r="N36" s="22"/>
      <c r="O36" s="22" t="s">
        <v>162</v>
      </c>
      <c r="P36" s="16"/>
      <c r="R36" s="60" t="s">
        <v>65</v>
      </c>
      <c r="S36" s="85" t="s">
        <v>187</v>
      </c>
      <c r="T36" s="85" t="s">
        <v>188</v>
      </c>
      <c r="U36" s="334" t="s">
        <v>676</v>
      </c>
      <c r="V36" s="334" t="s">
        <v>677</v>
      </c>
      <c r="X36" s="44">
        <v>24</v>
      </c>
      <c r="Y36" s="44">
        <v>0.9</v>
      </c>
      <c r="AG36" s="368">
        <v>1800</v>
      </c>
      <c r="AH36" s="46">
        <v>50</v>
      </c>
      <c r="AI36" s="46">
        <v>50</v>
      </c>
      <c r="AJ36" s="367">
        <v>85</v>
      </c>
      <c r="AK36" s="367">
        <v>125</v>
      </c>
      <c r="AL36" s="367">
        <v>28</v>
      </c>
      <c r="AM36" s="367">
        <v>6</v>
      </c>
    </row>
    <row r="37" spans="1:39" ht="13.5">
      <c r="A37" s="19" t="s">
        <v>180</v>
      </c>
      <c r="B37" s="22">
        <f>AI22</f>
        <v>214</v>
      </c>
      <c r="C37" s="2">
        <v>0</v>
      </c>
      <c r="D37" s="3">
        <f>IF(C37=0,B37,C37)</f>
        <v>214</v>
      </c>
      <c r="E37" s="99"/>
      <c r="F37" s="348"/>
      <c r="G37" s="301"/>
      <c r="H37" s="336" t="s">
        <v>678</v>
      </c>
      <c r="I37" s="337">
        <f>'引張接合'!B81*'入力表'!I38^3-'入力表'!I38^2-2*'入力表'!I38-1</f>
        <v>-8.332227257046299E-07</v>
      </c>
      <c r="J37" s="356">
        <f>'引張接合'!B81</f>
        <v>9.897846306060417</v>
      </c>
      <c r="K37" s="128"/>
      <c r="L37" s="36"/>
      <c r="M37" s="139">
        <f>IF((M33+200)*O37/(M33*O33)&gt;1.5,M33+200,ROUNDUP((M33*O33)*1.5/O37,-2))</f>
        <v>740</v>
      </c>
      <c r="N37" s="139" t="s">
        <v>165</v>
      </c>
      <c r="O37" s="140">
        <f>O33+200</f>
        <v>900</v>
      </c>
      <c r="P37" s="16"/>
      <c r="R37" s="92" t="str">
        <f>D21</f>
        <v>SM400A</v>
      </c>
      <c r="S37" s="93">
        <f>VLOOKUP(R37,R25:T34,2)</f>
        <v>140</v>
      </c>
      <c r="T37" s="93">
        <f>VLOOKUP(R37,R25:T34,3)</f>
        <v>80</v>
      </c>
      <c r="U37" s="335">
        <f>VLOOKUP(R37,R25:U34,4)</f>
        <v>400</v>
      </c>
      <c r="V37" s="335">
        <f>VLOOKUP(R37,R25:V34,5)</f>
        <v>235</v>
      </c>
      <c r="X37" s="44">
        <v>27</v>
      </c>
      <c r="Y37" s="44">
        <v>0.95</v>
      </c>
      <c r="AG37" s="368">
        <v>1900</v>
      </c>
      <c r="AH37" s="46">
        <v>50</v>
      </c>
      <c r="AI37" s="46">
        <v>50</v>
      </c>
      <c r="AJ37" s="367">
        <v>90</v>
      </c>
      <c r="AK37" s="367">
        <v>125</v>
      </c>
      <c r="AL37" s="367">
        <v>28</v>
      </c>
      <c r="AM37" s="367">
        <v>6</v>
      </c>
    </row>
    <row r="38" spans="1:39" ht="13.5">
      <c r="A38" s="12" t="s">
        <v>181</v>
      </c>
      <c r="B38" s="22">
        <f>AL22</f>
        <v>22</v>
      </c>
      <c r="C38" s="2">
        <v>0</v>
      </c>
      <c r="D38" s="3">
        <f>IF(C38=0,B38,C38)</f>
        <v>22</v>
      </c>
      <c r="E38" s="99"/>
      <c r="F38" s="348"/>
      <c r="G38" s="301"/>
      <c r="H38" s="338" t="s">
        <v>679</v>
      </c>
      <c r="I38" s="339">
        <f>I39</f>
        <v>0.650465</v>
      </c>
      <c r="J38" s="338" t="s">
        <v>700</v>
      </c>
      <c r="K38" s="16" t="str">
        <f>IF(I38&lt;='引張接合'!G76,"ＯＫ","ＮＧ")</f>
        <v>ＯＫ</v>
      </c>
      <c r="L38" s="34"/>
      <c r="M38" s="5"/>
      <c r="N38" s="5"/>
      <c r="O38" s="141"/>
      <c r="P38" s="47"/>
      <c r="X38" s="44">
        <v>30</v>
      </c>
      <c r="Y38" s="44">
        <v>1</v>
      </c>
      <c r="AG38" s="368">
        <v>2300</v>
      </c>
      <c r="AH38" s="46">
        <v>50</v>
      </c>
      <c r="AI38" s="46">
        <v>50</v>
      </c>
      <c r="AJ38" s="46">
        <v>90</v>
      </c>
      <c r="AK38" s="367">
        <v>130</v>
      </c>
      <c r="AL38" s="367">
        <v>28</v>
      </c>
      <c r="AM38" s="367">
        <v>8</v>
      </c>
    </row>
    <row r="39" spans="1:39" ht="13.5">
      <c r="A39" s="19" t="s">
        <v>182</v>
      </c>
      <c r="B39" s="12">
        <f>AN22</f>
        <v>280</v>
      </c>
      <c r="C39" s="2">
        <v>0</v>
      </c>
      <c r="D39" s="3">
        <f>IF(C39=0,MIN(12*D38,B39),MIN(12*D38,C39))</f>
        <v>264</v>
      </c>
      <c r="E39" s="99"/>
      <c r="F39" s="126"/>
      <c r="G39" s="127"/>
      <c r="H39" s="354" t="s">
        <v>699</v>
      </c>
      <c r="I39" s="355">
        <f>ROUND(1/6/J37*(2+2^(4/3)*(1+6*J37)/(2+18*J37+27*J37^2+(3*J37)^(3/2)*SQRT(4+27*J37))^(1/3)+2^(2/3)*(2+18*J37+27*J37^2+(3*J37)^(3/2)*SQRT(4+27*J37))^(1/3)),6)</f>
        <v>0.650465</v>
      </c>
      <c r="J39" s="127"/>
      <c r="K39" s="128"/>
      <c r="L39" s="34" t="s">
        <v>454</v>
      </c>
      <c r="N39" s="5" t="s">
        <v>401</v>
      </c>
      <c r="O39" s="178">
        <f>'主桁'!C18</f>
        <v>141.1764705882353</v>
      </c>
      <c r="P39" s="183" t="str">
        <f>'主桁'!Q18</f>
        <v>ＯＫ</v>
      </c>
      <c r="R39" s="60" t="s">
        <v>399</v>
      </c>
      <c r="S39" s="85" t="s">
        <v>187</v>
      </c>
      <c r="T39" s="85" t="s">
        <v>188</v>
      </c>
      <c r="X39" s="44">
        <v>40</v>
      </c>
      <c r="Y39" s="44">
        <v>1.2</v>
      </c>
      <c r="AG39" s="368">
        <v>2700</v>
      </c>
      <c r="AH39" s="46">
        <v>50</v>
      </c>
      <c r="AI39" s="46">
        <v>50</v>
      </c>
      <c r="AJ39" s="46">
        <v>90</v>
      </c>
      <c r="AK39" s="367">
        <v>130</v>
      </c>
      <c r="AL39" s="367">
        <v>28</v>
      </c>
      <c r="AM39" s="367">
        <v>8</v>
      </c>
    </row>
    <row r="40" spans="1:39" ht="14.25" customHeight="1">
      <c r="A40" s="19" t="s">
        <v>184</v>
      </c>
      <c r="B40" s="12">
        <f>AO22</f>
        <v>310</v>
      </c>
      <c r="C40" s="2">
        <v>0</v>
      </c>
      <c r="D40" s="3">
        <f>IF(E40=0,0,(IF(C40=0,MIN(12*D38,B40),MIN(12*D38,C40))))</f>
        <v>264</v>
      </c>
      <c r="E40" s="114">
        <f>IF(ｹｰﾌﾞﾙﾀｲﾌﾟ&gt;260,2,0)</f>
        <v>2</v>
      </c>
      <c r="F40" s="126"/>
      <c r="G40" s="127"/>
      <c r="H40" s="127"/>
      <c r="I40" s="127"/>
      <c r="J40" s="127"/>
      <c r="K40" s="128"/>
      <c r="L40" s="34"/>
      <c r="M40" s="5"/>
      <c r="N40" s="5" t="s">
        <v>402</v>
      </c>
      <c r="O40" s="178">
        <f>'主桁'!C23</f>
        <v>25.234441602728047</v>
      </c>
      <c r="P40" s="183" t="str">
        <f>'主桁'!Q23</f>
        <v>ＯＫ</v>
      </c>
      <c r="R40" s="92" t="str">
        <f>I41</f>
        <v>SM490YA</v>
      </c>
      <c r="S40" s="93">
        <f>VLOOKUP(R40,R25:T34,2)</f>
        <v>210</v>
      </c>
      <c r="T40" s="93">
        <f>VLOOKUP(R40,R25:T34,3)</f>
        <v>120</v>
      </c>
      <c r="X40" s="44">
        <v>50</v>
      </c>
      <c r="Y40" s="44">
        <v>1.4</v>
      </c>
      <c r="AG40" s="368">
        <v>3200</v>
      </c>
      <c r="AH40" s="46">
        <v>50</v>
      </c>
      <c r="AI40" s="46">
        <v>50</v>
      </c>
      <c r="AJ40" s="46">
        <v>80</v>
      </c>
      <c r="AK40" s="367">
        <v>140</v>
      </c>
      <c r="AL40" s="367">
        <v>32</v>
      </c>
      <c r="AM40" s="367">
        <v>8</v>
      </c>
    </row>
    <row r="41" spans="1:39" ht="14.25" customHeight="1">
      <c r="A41" s="96" t="s">
        <v>260</v>
      </c>
      <c r="B41" s="12">
        <f>AP22</f>
        <v>50</v>
      </c>
      <c r="C41" s="2">
        <v>0</v>
      </c>
      <c r="D41" s="3">
        <f>IF($E$41=0,0,IF(C41=0,B41,C41))</f>
        <v>50</v>
      </c>
      <c r="E41" s="114">
        <f>IF(ｹｰﾌﾞﾙﾀｲﾌﾟ&gt;730,1,0)</f>
        <v>1</v>
      </c>
      <c r="F41" s="126" t="s">
        <v>387</v>
      </c>
      <c r="G41" s="127"/>
      <c r="H41" s="378" t="s">
        <v>721</v>
      </c>
      <c r="I41" s="278" t="s">
        <v>450</v>
      </c>
      <c r="J41" s="127"/>
      <c r="K41" s="37"/>
      <c r="L41" s="34"/>
      <c r="M41" s="142"/>
      <c r="N41" s="142"/>
      <c r="O41" s="142"/>
      <c r="P41" s="133"/>
      <c r="AG41" s="368">
        <v>3400</v>
      </c>
      <c r="AH41" s="46">
        <v>50</v>
      </c>
      <c r="AI41" s="46">
        <v>50</v>
      </c>
      <c r="AJ41" s="46">
        <v>80</v>
      </c>
      <c r="AK41" s="367">
        <v>135</v>
      </c>
      <c r="AL41" s="367">
        <v>32</v>
      </c>
      <c r="AM41" s="367">
        <v>8</v>
      </c>
    </row>
    <row r="42" spans="1:39" ht="14.25" customHeight="1">
      <c r="A42" s="12" t="s">
        <v>236</v>
      </c>
      <c r="B42" s="12">
        <f>AQ22</f>
        <v>22</v>
      </c>
      <c r="C42" s="2">
        <v>0</v>
      </c>
      <c r="D42" s="3">
        <f>IF($E$41=0,0,IF(C42=0,B42,C42))</f>
        <v>22</v>
      </c>
      <c r="E42" s="100"/>
      <c r="F42" s="126"/>
      <c r="G42" s="127"/>
      <c r="H42" s="373" t="s">
        <v>719</v>
      </c>
      <c r="I42" s="278">
        <v>1.5</v>
      </c>
      <c r="J42" s="127"/>
      <c r="K42" s="37"/>
      <c r="L42" s="34" t="s">
        <v>455</v>
      </c>
      <c r="M42" s="34"/>
      <c r="N42" s="5" t="s">
        <v>250</v>
      </c>
      <c r="O42" s="187">
        <f>IF($I$55&gt;$I$53+MAX($I$56,$I$58),CON1!C19,CON2!C20)</f>
        <v>18.9</v>
      </c>
      <c r="P42" s="183" t="str">
        <f>IF($I$55&gt;$I$53+MAX($I$56,$I$58),CON1!M19,CON2!M20)</f>
        <v>ＯＫ</v>
      </c>
      <c r="R42" s="382" t="s">
        <v>484</v>
      </c>
      <c r="S42" s="382"/>
      <c r="X42" s="87" t="s">
        <v>241</v>
      </c>
      <c r="Y42" s="43" t="s">
        <v>240</v>
      </c>
      <c r="AG42" s="368">
        <v>4000</v>
      </c>
      <c r="AH42" s="46">
        <v>50</v>
      </c>
      <c r="AI42" s="46">
        <v>50</v>
      </c>
      <c r="AJ42" s="46">
        <v>75</v>
      </c>
      <c r="AK42" s="367">
        <v>145</v>
      </c>
      <c r="AL42" s="367">
        <v>32</v>
      </c>
      <c r="AM42" s="367">
        <v>10</v>
      </c>
    </row>
    <row r="43" spans="1:39" ht="14.25" customHeight="1">
      <c r="A43" s="12" t="s">
        <v>261</v>
      </c>
      <c r="B43" s="12">
        <f>AR22</f>
        <v>80</v>
      </c>
      <c r="C43" s="2">
        <v>0</v>
      </c>
      <c r="D43" s="3">
        <f>IF($E$43=0,0,IF(C43=0,B43-D45,C43-D45))</f>
        <v>80</v>
      </c>
      <c r="E43" s="114">
        <f>IF(ｹｰﾌﾞﾙﾀｲﾌﾟ&gt;730,1,0)</f>
        <v>1</v>
      </c>
      <c r="F43" s="126"/>
      <c r="G43" s="127"/>
      <c r="H43" s="127" t="s">
        <v>388</v>
      </c>
      <c r="I43" s="132">
        <f>S40*I42</f>
        <v>315</v>
      </c>
      <c r="J43" s="127" t="s">
        <v>389</v>
      </c>
      <c r="K43" s="37"/>
      <c r="L43" s="142"/>
      <c r="M43" s="5"/>
      <c r="N43" s="5" t="s">
        <v>433</v>
      </c>
      <c r="O43" s="188">
        <f>IF($I$55&gt;$I$53+MAX($I$56,$I$58),CON1!C52/CON1!H52,CON2!C54/CON2!H54)</f>
        <v>3.7132607197792447</v>
      </c>
      <c r="P43" s="183" t="str">
        <f>IF($I$55&gt;$I$53+MAX($I$56,$I$58),CON1!M52,CON2!M54)</f>
        <v>ＯＫ</v>
      </c>
      <c r="R43" s="92" t="s">
        <v>488</v>
      </c>
      <c r="S43" s="92" t="s">
        <v>489</v>
      </c>
      <c r="X43" s="88">
        <f>I60</f>
        <v>30</v>
      </c>
      <c r="Y43" s="89">
        <f>VLOOKUP(X43,X35:Y40,2)</f>
        <v>1</v>
      </c>
      <c r="AG43" s="368">
        <v>4600</v>
      </c>
      <c r="AH43" s="46">
        <v>40</v>
      </c>
      <c r="AI43" s="46">
        <v>40</v>
      </c>
      <c r="AJ43" s="46">
        <v>75</v>
      </c>
      <c r="AK43" s="367">
        <v>145</v>
      </c>
      <c r="AL43" s="367">
        <v>32</v>
      </c>
      <c r="AM43" s="367">
        <v>8</v>
      </c>
    </row>
    <row r="44" spans="1:39" ht="13.5" customHeight="1">
      <c r="A44" s="90" t="s">
        <v>237</v>
      </c>
      <c r="B44" s="90">
        <f>AS22</f>
        <v>22</v>
      </c>
      <c r="C44" s="4">
        <v>0</v>
      </c>
      <c r="D44" s="280">
        <f>IF($E$43=0,0,IF(C44=0,B44,C44))</f>
        <v>22</v>
      </c>
      <c r="E44" s="101"/>
      <c r="F44" s="126"/>
      <c r="G44" s="127"/>
      <c r="H44" s="127" t="s">
        <v>390</v>
      </c>
      <c r="I44" s="132">
        <f>T40*I42</f>
        <v>180</v>
      </c>
      <c r="J44" s="127" t="s">
        <v>389</v>
      </c>
      <c r="K44" s="133"/>
      <c r="L44" s="142"/>
      <c r="P44" s="128"/>
      <c r="R44" s="281"/>
      <c r="S44" s="281"/>
      <c r="AG44" s="368">
        <v>5200</v>
      </c>
      <c r="AH44" s="46">
        <v>40</v>
      </c>
      <c r="AI44" s="46">
        <v>40</v>
      </c>
      <c r="AJ44" s="46">
        <v>90</v>
      </c>
      <c r="AK44" s="367">
        <v>160</v>
      </c>
      <c r="AL44" s="367">
        <v>32</v>
      </c>
      <c r="AM44" s="367">
        <v>6</v>
      </c>
    </row>
    <row r="45" spans="1:39" ht="13.5" customHeight="1">
      <c r="A45" s="351" t="s">
        <v>693</v>
      </c>
      <c r="B45" s="351">
        <v>0</v>
      </c>
      <c r="C45" s="4">
        <v>0</v>
      </c>
      <c r="D45" s="352">
        <f>IF(C45=0,B45,C45)</f>
        <v>0</v>
      </c>
      <c r="E45" s="353"/>
      <c r="F45" s="349" t="s">
        <v>391</v>
      </c>
      <c r="G45" s="129"/>
      <c r="H45" s="129"/>
      <c r="I45" s="185">
        <v>2</v>
      </c>
      <c r="J45" s="127" t="s">
        <v>392</v>
      </c>
      <c r="K45" s="133"/>
      <c r="L45" s="91"/>
      <c r="M45" s="91"/>
      <c r="N45" s="91"/>
      <c r="O45" s="91"/>
      <c r="P45" s="131"/>
      <c r="R45" s="381" t="s">
        <v>720</v>
      </c>
      <c r="S45" s="382"/>
      <c r="AG45" s="368">
        <v>5700</v>
      </c>
      <c r="AH45" s="46">
        <v>40</v>
      </c>
      <c r="AI45" s="46">
        <v>40</v>
      </c>
      <c r="AJ45" s="46">
        <v>90</v>
      </c>
      <c r="AK45" s="367">
        <v>150</v>
      </c>
      <c r="AL45" s="367">
        <v>32</v>
      </c>
      <c r="AM45" s="367">
        <v>6</v>
      </c>
    </row>
    <row r="46" spans="1:39" ht="13.5" customHeight="1">
      <c r="A46" s="421" t="s">
        <v>185</v>
      </c>
      <c r="B46" s="422"/>
      <c r="C46" s="422"/>
      <c r="D46" s="422"/>
      <c r="E46" s="147"/>
      <c r="F46" s="126" t="s">
        <v>393</v>
      </c>
      <c r="G46" s="127"/>
      <c r="H46" s="127"/>
      <c r="I46" s="186">
        <v>1800</v>
      </c>
      <c r="J46" s="127" t="s">
        <v>394</v>
      </c>
      <c r="K46" s="133"/>
      <c r="L46" s="362"/>
      <c r="M46" s="363"/>
      <c r="N46" s="363"/>
      <c r="O46" s="363"/>
      <c r="P46" s="364"/>
      <c r="R46" s="92">
        <v>1.5</v>
      </c>
      <c r="S46" s="92">
        <v>1.7</v>
      </c>
      <c r="AG46" s="55"/>
      <c r="AH46" s="55"/>
      <c r="AI46" s="55"/>
      <c r="AJ46" s="55"/>
      <c r="AK46" s="55"/>
      <c r="AL46" s="55"/>
      <c r="AM46" s="55"/>
    </row>
    <row r="47" spans="1:83" ht="13.5" customHeight="1">
      <c r="A47" s="130"/>
      <c r="B47" s="127"/>
      <c r="C47" s="127"/>
      <c r="D47" s="127"/>
      <c r="E47" s="131"/>
      <c r="F47" s="126" t="s">
        <v>395</v>
      </c>
      <c r="G47" s="127"/>
      <c r="H47" s="127"/>
      <c r="I47" s="186">
        <v>17</v>
      </c>
      <c r="J47" s="189" t="s">
        <v>394</v>
      </c>
      <c r="K47" s="133"/>
      <c r="L47" s="126"/>
      <c r="M47" s="127"/>
      <c r="N47" s="127"/>
      <c r="O47" s="127"/>
      <c r="P47" s="128"/>
      <c r="R47" s="127"/>
      <c r="S47" s="127"/>
      <c r="T47" s="127"/>
      <c r="U47" s="127"/>
      <c r="V47" s="127"/>
      <c r="W47" s="127"/>
      <c r="AD47" s="127"/>
      <c r="AE47" s="127"/>
      <c r="AF47" s="127"/>
      <c r="AG47" s="41">
        <f>ｹｰﾌﾞﾙﾀｲﾌﾟ</f>
        <v>1000</v>
      </c>
      <c r="AH47" s="45">
        <f aca="true" t="shared" si="20" ref="AH47:AM47">LOOKUP($AG47,$AG28:$AG45,AH28:AH45)</f>
        <v>50</v>
      </c>
      <c r="AI47" s="45">
        <f t="shared" si="20"/>
        <v>50</v>
      </c>
      <c r="AJ47" s="45">
        <f t="shared" si="20"/>
        <v>100</v>
      </c>
      <c r="AK47" s="45">
        <f t="shared" si="20"/>
        <v>125</v>
      </c>
      <c r="AL47" s="45">
        <f t="shared" si="20"/>
        <v>28</v>
      </c>
      <c r="AM47" s="45">
        <f t="shared" si="20"/>
        <v>2</v>
      </c>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row>
    <row r="48" spans="1:99" ht="13.5" customHeight="1">
      <c r="A48" s="412" t="s">
        <v>189</v>
      </c>
      <c r="B48" s="412"/>
      <c r="C48" s="412"/>
      <c r="D48" s="412"/>
      <c r="E48" s="412"/>
      <c r="F48" s="126" t="s">
        <v>396</v>
      </c>
      <c r="G48" s="127"/>
      <c r="H48" s="127"/>
      <c r="I48" s="186">
        <v>2070</v>
      </c>
      <c r="J48" s="127" t="s">
        <v>394</v>
      </c>
      <c r="K48" s="133"/>
      <c r="L48" s="126"/>
      <c r="M48" s="127"/>
      <c r="N48" s="127"/>
      <c r="O48" s="127"/>
      <c r="P48" s="128"/>
      <c r="Q48" s="127"/>
      <c r="T48" s="127"/>
      <c r="U48" s="127"/>
      <c r="V48" s="127"/>
      <c r="W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row>
    <row r="49" spans="1:99" ht="13.5" customHeight="1">
      <c r="A49" s="413" t="s">
        <v>77</v>
      </c>
      <c r="B49" s="413"/>
      <c r="C49" s="413"/>
      <c r="D49" s="413"/>
      <c r="E49" s="413"/>
      <c r="F49" s="126" t="s">
        <v>397</v>
      </c>
      <c r="G49" s="127"/>
      <c r="H49" s="127"/>
      <c r="I49" s="186">
        <f>M37</f>
        <v>740</v>
      </c>
      <c r="J49" s="127" t="s">
        <v>394</v>
      </c>
      <c r="K49" s="133"/>
      <c r="L49" s="126"/>
      <c r="M49" s="127"/>
      <c r="N49" s="127"/>
      <c r="O49" s="127"/>
      <c r="P49" s="128"/>
      <c r="Q49" s="127"/>
      <c r="R49" s="127"/>
      <c r="S49" s="127"/>
      <c r="T49" s="127"/>
      <c r="U49" s="127"/>
      <c r="V49" s="127"/>
      <c r="W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row>
    <row r="50" spans="1:99" ht="13.5" customHeight="1">
      <c r="A50" s="414" t="s">
        <v>457</v>
      </c>
      <c r="B50" s="414"/>
      <c r="C50" s="414"/>
      <c r="D50" s="414"/>
      <c r="E50" s="414"/>
      <c r="F50" s="126" t="s">
        <v>398</v>
      </c>
      <c r="G50" s="127"/>
      <c r="H50" s="127"/>
      <c r="I50" s="186">
        <f>O37</f>
        <v>900</v>
      </c>
      <c r="J50" s="127" t="s">
        <v>394</v>
      </c>
      <c r="K50" s="128"/>
      <c r="L50" s="126"/>
      <c r="M50" s="127"/>
      <c r="N50" s="127"/>
      <c r="O50" s="127"/>
      <c r="P50" s="128"/>
      <c r="Q50" s="189"/>
      <c r="R50" s="127"/>
      <c r="S50" s="127"/>
      <c r="AA50" s="127"/>
      <c r="AB50" s="127"/>
      <c r="AC50" s="127"/>
      <c r="CF50" s="127"/>
      <c r="CG50" s="127"/>
      <c r="CH50" s="127"/>
      <c r="CI50" s="127"/>
      <c r="CJ50" s="127"/>
      <c r="CK50" s="127"/>
      <c r="CL50" s="127"/>
      <c r="CM50" s="127"/>
      <c r="CN50" s="127"/>
      <c r="CO50" s="127"/>
      <c r="CP50" s="127"/>
      <c r="CQ50" s="127"/>
      <c r="CR50" s="127"/>
      <c r="CS50" s="127"/>
      <c r="CT50" s="127"/>
      <c r="CU50" s="127"/>
    </row>
    <row r="51" spans="1:19" ht="13.5" customHeight="1">
      <c r="A51" s="415" t="s">
        <v>512</v>
      </c>
      <c r="B51" s="415"/>
      <c r="C51" s="415"/>
      <c r="D51" s="415"/>
      <c r="E51" s="416"/>
      <c r="F51" s="126"/>
      <c r="G51" s="103">
        <f>IF(P39="ＮＧ","補強板高さ変更値を入力してください","")</f>
      </c>
      <c r="H51" s="127"/>
      <c r="I51" s="127"/>
      <c r="J51" s="127"/>
      <c r="K51" s="128"/>
      <c r="L51" s="126"/>
      <c r="M51" s="127"/>
      <c r="N51" s="127"/>
      <c r="O51" s="127"/>
      <c r="P51" s="128"/>
      <c r="R51" s="127"/>
      <c r="S51" s="127"/>
    </row>
    <row r="52" spans="1:16" ht="13.5">
      <c r="A52" s="417"/>
      <c r="B52" s="417"/>
      <c r="C52" s="417"/>
      <c r="D52" s="417"/>
      <c r="E52" s="418"/>
      <c r="F52" s="345" t="s">
        <v>456</v>
      </c>
      <c r="G52" s="142"/>
      <c r="H52" s="103" t="str">
        <f>IF($I$55&gt;$I$53+MAX($I$56,$I$58),"注!! CON1 のシートを活用してください","注!! CON2 のシートを活用してください")</f>
        <v>注!! CON2 のシートを活用してください</v>
      </c>
      <c r="I52" s="184"/>
      <c r="J52" s="184"/>
      <c r="K52" s="190"/>
      <c r="L52" s="126"/>
      <c r="M52" s="127"/>
      <c r="N52" s="127"/>
      <c r="O52" s="127"/>
      <c r="P52" s="128"/>
    </row>
    <row r="53" spans="1:16" ht="13.5">
      <c r="A53" s="419"/>
      <c r="B53" s="419"/>
      <c r="C53" s="419"/>
      <c r="D53" s="419"/>
      <c r="E53" s="420"/>
      <c r="F53" s="345"/>
      <c r="G53" s="69"/>
      <c r="H53" s="70" t="s">
        <v>513</v>
      </c>
      <c r="I53" s="71">
        <v>1000</v>
      </c>
      <c r="J53" s="69" t="s">
        <v>144</v>
      </c>
      <c r="K53" s="191"/>
      <c r="L53" s="126"/>
      <c r="M53" s="127"/>
      <c r="N53" s="127"/>
      <c r="O53" s="127"/>
      <c r="P53" s="128"/>
    </row>
    <row r="54" spans="1:16" ht="13.5">
      <c r="A54" s="410" t="s">
        <v>490</v>
      </c>
      <c r="B54" s="410"/>
      <c r="C54" s="410"/>
      <c r="D54" s="410"/>
      <c r="E54" s="410"/>
      <c r="F54" s="345"/>
      <c r="G54" s="69"/>
      <c r="H54" s="70" t="s">
        <v>519</v>
      </c>
      <c r="I54" s="299">
        <f>I53-150</f>
        <v>850</v>
      </c>
      <c r="J54" s="69" t="s">
        <v>144</v>
      </c>
      <c r="K54" s="191"/>
      <c r="L54" s="126"/>
      <c r="M54" s="127"/>
      <c r="N54" s="127"/>
      <c r="O54" s="127"/>
      <c r="P54" s="128"/>
    </row>
    <row r="55" spans="1:16" ht="13.5">
      <c r="A55" s="410"/>
      <c r="B55" s="410"/>
      <c r="C55" s="410"/>
      <c r="D55" s="410"/>
      <c r="E55" s="410"/>
      <c r="F55" s="345"/>
      <c r="G55" s="69"/>
      <c r="H55" s="70" t="s">
        <v>245</v>
      </c>
      <c r="I55" s="71">
        <f>D20*2+I47*3</f>
        <v>751</v>
      </c>
      <c r="J55" s="69" t="s">
        <v>144</v>
      </c>
      <c r="K55" s="191"/>
      <c r="L55" s="126"/>
      <c r="M55" s="127"/>
      <c r="N55" s="127"/>
      <c r="O55" s="127"/>
      <c r="P55" s="128"/>
    </row>
    <row r="56" spans="1:16" ht="13.5">
      <c r="A56" s="410"/>
      <c r="B56" s="410"/>
      <c r="C56" s="410"/>
      <c r="D56" s="410"/>
      <c r="E56" s="410"/>
      <c r="F56" s="345"/>
      <c r="G56" s="69"/>
      <c r="H56" s="70" t="s">
        <v>284</v>
      </c>
      <c r="I56" s="70">
        <f>Y22</f>
        <v>250</v>
      </c>
      <c r="J56" s="69" t="s">
        <v>144</v>
      </c>
      <c r="K56" s="191"/>
      <c r="L56" s="126"/>
      <c r="M56" s="127"/>
      <c r="N56" s="127"/>
      <c r="O56" s="127"/>
      <c r="P56" s="128"/>
    </row>
    <row r="57" spans="1:16" ht="13.5">
      <c r="A57" s="410" t="s">
        <v>491</v>
      </c>
      <c r="B57" s="410"/>
      <c r="C57" s="410"/>
      <c r="D57" s="410"/>
      <c r="E57" s="410"/>
      <c r="F57" s="345"/>
      <c r="G57" s="103">
        <f>IF(P42="ＮＧ","耐圧板1辺の長さを入力してください","")</f>
      </c>
      <c r="H57" s="73"/>
      <c r="I57" s="73"/>
      <c r="J57" s="73"/>
      <c r="K57" s="191"/>
      <c r="L57" s="126"/>
      <c r="M57" s="127"/>
      <c r="N57" s="127"/>
      <c r="O57" s="127"/>
      <c r="P57" s="128"/>
    </row>
    <row r="58" spans="1:16" ht="13.5">
      <c r="A58" s="410"/>
      <c r="B58" s="410"/>
      <c r="C58" s="410"/>
      <c r="D58" s="410"/>
      <c r="E58" s="410"/>
      <c r="F58" s="345"/>
      <c r="G58" s="69"/>
      <c r="H58" s="74" t="s">
        <v>283</v>
      </c>
      <c r="I58" s="186">
        <v>0</v>
      </c>
      <c r="J58" s="73" t="s">
        <v>146</v>
      </c>
      <c r="K58" s="191"/>
      <c r="L58" s="126"/>
      <c r="M58" s="127"/>
      <c r="N58" s="127"/>
      <c r="O58" s="127"/>
      <c r="P58" s="128"/>
    </row>
    <row r="59" spans="1:16" ht="13.5">
      <c r="A59" s="410"/>
      <c r="B59" s="410"/>
      <c r="C59" s="410"/>
      <c r="D59" s="410"/>
      <c r="E59" s="410"/>
      <c r="F59" s="345"/>
      <c r="G59" s="73"/>
      <c r="H59" s="74" t="s">
        <v>514</v>
      </c>
      <c r="I59" s="21">
        <f>AD22</f>
        <v>140</v>
      </c>
      <c r="J59" s="73" t="s">
        <v>147</v>
      </c>
      <c r="K59" s="191"/>
      <c r="L59" s="126"/>
      <c r="M59" s="127"/>
      <c r="N59" s="127"/>
      <c r="O59" s="127"/>
      <c r="P59" s="128"/>
    </row>
    <row r="60" spans="1:16" ht="15.75">
      <c r="A60" s="411" t="s">
        <v>492</v>
      </c>
      <c r="B60" s="411"/>
      <c r="C60" s="411"/>
      <c r="D60" s="411"/>
      <c r="E60" s="411"/>
      <c r="F60" s="345"/>
      <c r="G60" s="74"/>
      <c r="H60" s="70" t="s">
        <v>246</v>
      </c>
      <c r="I60" s="278">
        <v>30</v>
      </c>
      <c r="J60" s="73" t="s">
        <v>361</v>
      </c>
      <c r="K60" s="191"/>
      <c r="L60" s="126"/>
      <c r="M60" s="127"/>
      <c r="N60" s="127"/>
      <c r="O60" s="127"/>
      <c r="P60" s="128"/>
    </row>
    <row r="61" spans="1:16" ht="13.5">
      <c r="A61" s="411"/>
      <c r="B61" s="411"/>
      <c r="C61" s="411"/>
      <c r="D61" s="411"/>
      <c r="E61" s="411"/>
      <c r="F61" s="126"/>
      <c r="G61" s="74"/>
      <c r="H61" s="70" t="s">
        <v>247</v>
      </c>
      <c r="I61" s="71">
        <f>IF(I55/I56&lt;2,I55/I56,2)</f>
        <v>2</v>
      </c>
      <c r="J61" s="69"/>
      <c r="K61" s="191"/>
      <c r="L61" s="126"/>
      <c r="M61" s="127"/>
      <c r="N61" s="127"/>
      <c r="O61" s="127"/>
      <c r="P61" s="128"/>
    </row>
    <row r="62" spans="1:16" ht="15.75">
      <c r="A62" s="411"/>
      <c r="B62" s="411"/>
      <c r="C62" s="411"/>
      <c r="D62" s="411"/>
      <c r="E62" s="411"/>
      <c r="F62" s="130"/>
      <c r="G62" s="374"/>
      <c r="H62" s="374" t="s">
        <v>248</v>
      </c>
      <c r="I62" s="375">
        <f>Y43*1.5</f>
        <v>1.5</v>
      </c>
      <c r="J62" s="376" t="s">
        <v>361</v>
      </c>
      <c r="K62" s="377"/>
      <c r="L62" s="130"/>
      <c r="M62" s="91"/>
      <c r="N62" s="91"/>
      <c r="O62" s="91"/>
      <c r="P62" s="131"/>
    </row>
  </sheetData>
  <sheetProtection/>
  <mergeCells count="34">
    <mergeCell ref="R42:S42"/>
    <mergeCell ref="A46:D46"/>
    <mergeCell ref="A57:E59"/>
    <mergeCell ref="A60:E62"/>
    <mergeCell ref="A48:E48"/>
    <mergeCell ref="A49:E49"/>
    <mergeCell ref="A50:E50"/>
    <mergeCell ref="A54:E56"/>
    <mergeCell ref="A51:E53"/>
    <mergeCell ref="I21:J21"/>
    <mergeCell ref="I22:J22"/>
    <mergeCell ref="F2:G2"/>
    <mergeCell ref="L1:P1"/>
    <mergeCell ref="A1:K1"/>
    <mergeCell ref="F3:G3"/>
    <mergeCell ref="H3:I3"/>
    <mergeCell ref="B2:D2"/>
    <mergeCell ref="AL24:AL27"/>
    <mergeCell ref="AG25:AG27"/>
    <mergeCell ref="AH25:AI25"/>
    <mergeCell ref="AJ25:AK25"/>
    <mergeCell ref="AH26:AH27"/>
    <mergeCell ref="BA1:BN1"/>
    <mergeCell ref="AM24:AM27"/>
    <mergeCell ref="AI26:AI27"/>
    <mergeCell ref="AJ26:AJ27"/>
    <mergeCell ref="AK26:AK27"/>
    <mergeCell ref="R45:S45"/>
    <mergeCell ref="A7:C7"/>
    <mergeCell ref="A8:C8"/>
    <mergeCell ref="R21:W21"/>
    <mergeCell ref="C17:C18"/>
    <mergeCell ref="AG24:AK24"/>
    <mergeCell ref="A21:B21"/>
  </mergeCells>
  <conditionalFormatting sqref="BA3:BA20">
    <cfRule type="cellIs" priority="1" dxfId="39" operator="lessThan" stopIfTrue="1">
      <formula>$AZ3*1.2</formula>
    </cfRule>
  </conditionalFormatting>
  <conditionalFormatting sqref="I61:J61 I59 H62:J62 J53:J60 I53:I57 H52:H61 K53:K62 G53:G62">
    <cfRule type="expression" priority="2" dxfId="40" stopIfTrue="1">
      <formula>$I$53=0</formula>
    </cfRule>
  </conditionalFormatting>
  <conditionalFormatting sqref="K38 P39:P40 O42:P43 P3 P5 P7 P10:P29">
    <cfRule type="cellIs" priority="3" dxfId="41" operator="equal" stopIfTrue="1">
      <formula>"ＮＧ"</formula>
    </cfRule>
  </conditionalFormatting>
  <conditionalFormatting sqref="F10">
    <cfRule type="cellIs" priority="4" dxfId="2" operator="equal" stopIfTrue="1">
      <formula>$BU$22</formula>
    </cfRule>
  </conditionalFormatting>
  <conditionalFormatting sqref="F6">
    <cfRule type="cellIs" priority="5" dxfId="2" operator="equal" stopIfTrue="1">
      <formula>$BQ$22</formula>
    </cfRule>
  </conditionalFormatting>
  <conditionalFormatting sqref="F7">
    <cfRule type="cellIs" priority="6" dxfId="2" operator="equal" stopIfTrue="1">
      <formula>$BR$22</formula>
    </cfRule>
  </conditionalFormatting>
  <conditionalFormatting sqref="F8">
    <cfRule type="cellIs" priority="7" dxfId="2" operator="equal" stopIfTrue="1">
      <formula>$BS$22</formula>
    </cfRule>
  </conditionalFormatting>
  <conditionalFormatting sqref="F9">
    <cfRule type="cellIs" priority="8" dxfId="2" operator="equal" stopIfTrue="1">
      <formula>$BT$22</formula>
    </cfRule>
  </conditionalFormatting>
  <conditionalFormatting sqref="F11">
    <cfRule type="cellIs" priority="9" dxfId="2" operator="equal" stopIfTrue="1">
      <formula>$BV$22</formula>
    </cfRule>
  </conditionalFormatting>
  <conditionalFormatting sqref="F12">
    <cfRule type="cellIs" priority="10" dxfId="2" operator="equal" stopIfTrue="1">
      <formula>$BW$22</formula>
    </cfRule>
  </conditionalFormatting>
  <conditionalFormatting sqref="F13">
    <cfRule type="cellIs" priority="11" dxfId="2" operator="equal" stopIfTrue="1">
      <formula>$BX$22</formula>
    </cfRule>
  </conditionalFormatting>
  <conditionalFormatting sqref="F14">
    <cfRule type="cellIs" priority="12" dxfId="2" operator="equal" stopIfTrue="1">
      <formula>$BY$22</formula>
    </cfRule>
  </conditionalFormatting>
  <conditionalFormatting sqref="F15">
    <cfRule type="cellIs" priority="13" dxfId="2" operator="equal" stopIfTrue="1">
      <formula>$BZ$22</formula>
    </cfRule>
  </conditionalFormatting>
  <conditionalFormatting sqref="F17">
    <cfRule type="cellIs" priority="14" dxfId="2" operator="equal" stopIfTrue="1">
      <formula>$CB$22</formula>
    </cfRule>
  </conditionalFormatting>
  <conditionalFormatting sqref="F18">
    <cfRule type="cellIs" priority="15" dxfId="2" operator="equal" stopIfTrue="1">
      <formula>$CC$22</formula>
    </cfRule>
  </conditionalFormatting>
  <conditionalFormatting sqref="F19">
    <cfRule type="cellIs" priority="16" dxfId="2" operator="equal" stopIfTrue="1">
      <formula>$CD$22</formula>
    </cfRule>
  </conditionalFormatting>
  <conditionalFormatting sqref="G5">
    <cfRule type="cellIs" priority="17" dxfId="2" operator="equal" stopIfTrue="1">
      <formula>$BB$22</formula>
    </cfRule>
  </conditionalFormatting>
  <conditionalFormatting sqref="G6">
    <cfRule type="cellIs" priority="18" dxfId="2" operator="equal" stopIfTrue="1">
      <formula>$BC$22</formula>
    </cfRule>
  </conditionalFormatting>
  <conditionalFormatting sqref="G7">
    <cfRule type="cellIs" priority="19" dxfId="2" operator="equal" stopIfTrue="1">
      <formula>$BD$22</formula>
    </cfRule>
  </conditionalFormatting>
  <conditionalFormatting sqref="G8">
    <cfRule type="cellIs" priority="20" dxfId="2" operator="equal" stopIfTrue="1">
      <formula>$BE$22</formula>
    </cfRule>
  </conditionalFormatting>
  <conditionalFormatting sqref="G9">
    <cfRule type="cellIs" priority="21" dxfId="2" operator="equal" stopIfTrue="1">
      <formula>$BF$22</formula>
    </cfRule>
  </conditionalFormatting>
  <conditionalFormatting sqref="G10">
    <cfRule type="cellIs" priority="22" dxfId="2" operator="equal" stopIfTrue="1">
      <formula>$BG$22</formula>
    </cfRule>
  </conditionalFormatting>
  <conditionalFormatting sqref="G11">
    <cfRule type="cellIs" priority="23" dxfId="2" operator="equal" stopIfTrue="1">
      <formula>$BH$22</formula>
    </cfRule>
  </conditionalFormatting>
  <conditionalFormatting sqref="G12">
    <cfRule type="cellIs" priority="24" dxfId="2" operator="equal" stopIfTrue="1">
      <formula>$BI$22</formula>
    </cfRule>
  </conditionalFormatting>
  <conditionalFormatting sqref="G13">
    <cfRule type="cellIs" priority="25" dxfId="2" operator="equal" stopIfTrue="1">
      <formula>$BJ$22</formula>
    </cfRule>
  </conditionalFormatting>
  <conditionalFormatting sqref="G14">
    <cfRule type="cellIs" priority="26" dxfId="2" operator="equal" stopIfTrue="1">
      <formula>$BK$22</formula>
    </cfRule>
  </conditionalFormatting>
  <conditionalFormatting sqref="G15">
    <cfRule type="cellIs" priority="27" dxfId="2" operator="equal" stopIfTrue="1">
      <formula>$BL$22</formula>
    </cfRule>
  </conditionalFormatting>
  <conditionalFormatting sqref="G16">
    <cfRule type="cellIs" priority="28" dxfId="2" operator="equal" stopIfTrue="1">
      <formula>$BM$22</formula>
    </cfRule>
  </conditionalFormatting>
  <conditionalFormatting sqref="G17">
    <cfRule type="cellIs" priority="29" dxfId="2" operator="equal" stopIfTrue="1">
      <formula>$BN$22</formula>
    </cfRule>
  </conditionalFormatting>
  <conditionalFormatting sqref="G18">
    <cfRule type="cellIs" priority="30" dxfId="2" operator="equal" stopIfTrue="1">
      <formula>$BO$22</formula>
    </cfRule>
  </conditionalFormatting>
  <conditionalFormatting sqref="G19">
    <cfRule type="cellIs" priority="31" dxfId="2" operator="equal" stopIfTrue="1">
      <formula>$BP$22</formula>
    </cfRule>
  </conditionalFormatting>
  <conditionalFormatting sqref="F16">
    <cfRule type="cellIs" priority="32" dxfId="2" operator="equal" stopIfTrue="1">
      <formula>$CA$22</formula>
    </cfRule>
  </conditionalFormatting>
  <conditionalFormatting sqref="D18">
    <cfRule type="expression" priority="33" dxfId="42" stopIfTrue="1">
      <formula>$D$11="ゴム支承"</formula>
    </cfRule>
  </conditionalFormatting>
  <conditionalFormatting sqref="D13:D17">
    <cfRule type="expression" priority="34" dxfId="42" stopIfTrue="1">
      <formula>$D$11="その他"</formula>
    </cfRule>
  </conditionalFormatting>
  <conditionalFormatting sqref="C13:C16 E13:E17">
    <cfRule type="expression" priority="35" dxfId="43" stopIfTrue="1">
      <formula>$D$11="その他"</formula>
    </cfRule>
  </conditionalFormatting>
  <conditionalFormatting sqref="E18">
    <cfRule type="expression" priority="36" dxfId="44" stopIfTrue="1">
      <formula>$D$11="ゴム支承"</formula>
    </cfRule>
  </conditionalFormatting>
  <conditionalFormatting sqref="E30">
    <cfRule type="cellIs" priority="37" dxfId="45" operator="equal" stopIfTrue="1">
      <formula>"板厚不足"</formula>
    </cfRule>
  </conditionalFormatting>
  <conditionalFormatting sqref="F5">
    <cfRule type="cellIs" priority="38" dxfId="2" operator="equal" stopIfTrue="1">
      <formula>$I$31</formula>
    </cfRule>
  </conditionalFormatting>
  <dataValidations count="8">
    <dataValidation type="decimal" operator="lessThanOrEqual" allowBlank="1" showInputMessage="1" showErrorMessage="1" error="有効支圧面積の1辺は支圧板の1辺の5倍以下にしてください" sqref="I61">
      <formula1>5</formula1>
    </dataValidation>
    <dataValidation type="list" allowBlank="1" showInputMessage="1" showErrorMessage="1" sqref="D21 I41">
      <formula1>$R$25:$R$34</formula1>
    </dataValidation>
    <dataValidation type="list" allowBlank="1" showInputMessage="1" showErrorMessage="1" sqref="I60">
      <formula1>$X$35:$X$40</formula1>
    </dataValidation>
    <dataValidation type="list" allowBlank="1" showInputMessage="1" showErrorMessage="1" sqref="D5">
      <formula1>"一般型,高耐食型"</formula1>
    </dataValidation>
    <dataValidation type="list" allowBlank="1" showInputMessage="1" showErrorMessage="1" prompt="180、260、390、570、&#10;730、1000、1300、1500、&#10;1800、1900、2300、2700、&#10;3200、3400、4000、4600、&#10;5200、5700&#10;より選んでください。&#10;" error="180、260、390、450、570、&#10;730、1000、1300、1500、&#10;1800、1900、2300、2700、&#10;3200、3400、4000、4600、&#10;5200、5700&#10;より選択してください。" sqref="D8">
      <formula1>$R$3:$R$20</formula1>
    </dataValidation>
    <dataValidation type="list" allowBlank="1" showInputMessage="1" showErrorMessage="1" sqref="D11">
      <formula1>$R$43:$S$43</formula1>
    </dataValidation>
    <dataValidation type="list" allowBlank="1" showInputMessage="1" showErrorMessage="1" sqref="I2">
      <formula1>$X$25:$X$29</formula1>
    </dataValidation>
    <dataValidation type="list" allowBlank="1" showInputMessage="1" showErrorMessage="1" sqref="D22 I42">
      <formula1>$R$46:$S$46</formula1>
    </dataValidation>
  </dataValidations>
  <printOptions/>
  <pageMargins left="0.75" right="0.75" top="0.65" bottom="0.75" header="0.512" footer="0.512"/>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R54"/>
  <sheetViews>
    <sheetView zoomScalePageLayoutView="0" workbookViewId="0" topLeftCell="A1">
      <selection activeCell="J22" sqref="J22:L22"/>
    </sheetView>
  </sheetViews>
  <sheetFormatPr defaultColWidth="9.00390625" defaultRowHeight="13.5"/>
  <cols>
    <col min="1" max="18" width="4.625" style="119" customWidth="1"/>
    <col min="19" max="19" width="4.125" style="119" customWidth="1"/>
    <col min="20" max="16384" width="9.00390625" style="119" customWidth="1"/>
  </cols>
  <sheetData>
    <row r="1" s="152" customFormat="1" ht="15" customHeight="1">
      <c r="A1" s="152" t="s">
        <v>400</v>
      </c>
    </row>
    <row r="2" s="152" customFormat="1" ht="15" customHeight="1">
      <c r="B2" s="152" t="s">
        <v>78</v>
      </c>
    </row>
    <row r="3" spans="8:10" s="152" customFormat="1" ht="15" customHeight="1">
      <c r="H3" s="153" t="s">
        <v>327</v>
      </c>
      <c r="I3" s="152">
        <f>'入力表'!I60</f>
        <v>30</v>
      </c>
      <c r="J3" s="152" t="s">
        <v>328</v>
      </c>
    </row>
    <row r="4" spans="8:12" s="152" customFormat="1" ht="15" customHeight="1">
      <c r="H4" s="153" t="s">
        <v>522</v>
      </c>
      <c r="I4" s="434">
        <f>'入力表'!I53</f>
        <v>1000</v>
      </c>
      <c r="J4" s="434"/>
      <c r="K4" s="152" t="s">
        <v>208</v>
      </c>
      <c r="L4" s="154"/>
    </row>
    <row r="5" spans="8:12" s="152" customFormat="1" ht="15" customHeight="1">
      <c r="H5" s="196" t="s">
        <v>520</v>
      </c>
      <c r="I5" s="434">
        <f>'入力表'!I54</f>
        <v>850</v>
      </c>
      <c r="J5" s="434"/>
      <c r="K5" s="199" t="s">
        <v>208</v>
      </c>
      <c r="L5" s="154"/>
    </row>
    <row r="6" spans="8:11" s="152" customFormat="1" ht="15" customHeight="1">
      <c r="H6" s="153" t="s">
        <v>521</v>
      </c>
      <c r="I6" s="434">
        <f>'入力表'!I55</f>
        <v>751</v>
      </c>
      <c r="J6" s="434"/>
      <c r="K6" s="152" t="s">
        <v>218</v>
      </c>
    </row>
    <row r="7" spans="5:16" s="152" customFormat="1" ht="15" customHeight="1">
      <c r="E7" s="153" t="s">
        <v>88</v>
      </c>
      <c r="F7" s="154">
        <f>IF('入力表'!I58=0,'入力表'!I56,'入力表'!I58)</f>
        <v>250</v>
      </c>
      <c r="G7" s="143" t="s">
        <v>15</v>
      </c>
      <c r="H7" s="154">
        <f>F7</f>
        <v>250</v>
      </c>
      <c r="I7" s="152" t="s">
        <v>405</v>
      </c>
      <c r="J7" s="143"/>
      <c r="K7" s="143"/>
      <c r="L7" s="143"/>
      <c r="M7" s="143"/>
      <c r="N7" s="153" t="s">
        <v>516</v>
      </c>
      <c r="O7" s="166">
        <f>'入力表'!I59</f>
        <v>140</v>
      </c>
      <c r="P7" s="152" t="s">
        <v>209</v>
      </c>
    </row>
    <row r="8" spans="2:15" s="152" customFormat="1" ht="15" customHeight="1">
      <c r="B8" s="152" t="s">
        <v>353</v>
      </c>
      <c r="L8" s="156"/>
      <c r="M8" s="156"/>
      <c r="N8" s="156"/>
      <c r="O8" s="156"/>
    </row>
    <row r="9" spans="2:7" s="152" customFormat="1" ht="15" customHeight="1">
      <c r="B9" s="153" t="s">
        <v>330</v>
      </c>
      <c r="C9" s="144">
        <f>F7</f>
        <v>250</v>
      </c>
      <c r="D9" s="497" t="s">
        <v>406</v>
      </c>
      <c r="E9" s="497"/>
      <c r="F9" s="144">
        <f>O7</f>
        <v>140</v>
      </c>
      <c r="G9" s="157">
        <v>2</v>
      </c>
    </row>
    <row r="10" spans="2:5" s="152" customFormat="1" ht="15" customHeight="1">
      <c r="B10" s="153" t="s">
        <v>202</v>
      </c>
      <c r="C10" s="484">
        <f>ROUND(C9^2-F9^2*PI()/4,0)</f>
        <v>47106</v>
      </c>
      <c r="D10" s="484"/>
      <c r="E10" s="152" t="s">
        <v>331</v>
      </c>
    </row>
    <row r="11" spans="12:14" s="152" customFormat="1" ht="15" customHeight="1">
      <c r="L11" s="153" t="s">
        <v>332</v>
      </c>
      <c r="M11" s="152">
        <f>'入力表'!I61</f>
        <v>2</v>
      </c>
      <c r="N11" s="152" t="s">
        <v>79</v>
      </c>
    </row>
    <row r="12" spans="2:9" s="152" customFormat="1" ht="15" customHeight="1">
      <c r="B12" s="153" t="s">
        <v>333</v>
      </c>
      <c r="C12" s="153" t="s">
        <v>210</v>
      </c>
      <c r="D12" s="487">
        <f>C9*M11</f>
        <v>500</v>
      </c>
      <c r="E12" s="487"/>
      <c r="F12" s="143" t="s">
        <v>211</v>
      </c>
      <c r="G12" s="487">
        <f>C9*M11</f>
        <v>500</v>
      </c>
      <c r="H12" s="487"/>
      <c r="I12" s="152" t="s">
        <v>212</v>
      </c>
    </row>
    <row r="13" spans="2:5" s="152" customFormat="1" ht="15" customHeight="1">
      <c r="B13" s="153" t="s">
        <v>213</v>
      </c>
      <c r="C13" s="484">
        <f>(D12*G12)</f>
        <v>250000</v>
      </c>
      <c r="D13" s="484"/>
      <c r="E13" s="152" t="s">
        <v>354</v>
      </c>
    </row>
    <row r="14" s="152" customFormat="1" ht="15" customHeight="1">
      <c r="B14" s="152" t="s">
        <v>334</v>
      </c>
    </row>
    <row r="15" spans="2:12" s="152" customFormat="1" ht="15" customHeight="1">
      <c r="B15" s="153" t="s">
        <v>335</v>
      </c>
      <c r="C15" s="159" t="s">
        <v>336</v>
      </c>
      <c r="E15" s="153"/>
      <c r="F15" s="143"/>
      <c r="G15" s="143"/>
      <c r="H15" s="143"/>
      <c r="I15" s="143"/>
      <c r="J15" s="160"/>
      <c r="L15" s="143"/>
    </row>
    <row r="16" spans="2:8" s="152" customFormat="1" ht="15" customHeight="1">
      <c r="B16" s="153" t="s">
        <v>214</v>
      </c>
      <c r="C16" s="443">
        <f>ROUND(MIN((0.25+0.05*C13/C10),0.5)*I3*1.5,1)</f>
        <v>22.5</v>
      </c>
      <c r="D16" s="443"/>
      <c r="E16" s="487" t="s">
        <v>407</v>
      </c>
      <c r="F16" s="487"/>
      <c r="H16" s="158" t="s">
        <v>338</v>
      </c>
    </row>
    <row r="17" spans="3:6" s="152" customFormat="1" ht="15" customHeight="1">
      <c r="C17" s="161"/>
      <c r="D17" s="161"/>
      <c r="E17" s="144"/>
      <c r="F17" s="144"/>
    </row>
    <row r="18" spans="2:18" s="152" customFormat="1" ht="15" customHeight="1">
      <c r="B18" s="158" t="s">
        <v>339</v>
      </c>
      <c r="C18" s="159"/>
      <c r="P18" s="153"/>
      <c r="Q18" s="143"/>
      <c r="R18" s="143"/>
    </row>
    <row r="19" spans="2:18" s="152" customFormat="1" ht="15" customHeight="1">
      <c r="B19" s="153" t="s">
        <v>340</v>
      </c>
      <c r="C19" s="159" t="s">
        <v>341</v>
      </c>
      <c r="P19" s="153"/>
      <c r="Q19" s="143"/>
      <c r="R19" s="143"/>
    </row>
    <row r="20" spans="2:18" s="152" customFormat="1" ht="15" customHeight="1">
      <c r="B20" s="153" t="s">
        <v>202</v>
      </c>
      <c r="C20" s="492">
        <f>ROUND(P*1000/C10,1)</f>
        <v>18.9</v>
      </c>
      <c r="D20" s="492"/>
      <c r="E20" s="487" t="s">
        <v>342</v>
      </c>
      <c r="F20" s="487"/>
      <c r="G20" s="143" t="s">
        <v>215</v>
      </c>
      <c r="H20" s="492">
        <f>IF(C16&lt;(I3*1.5/2),C16,(I3*1.5/2))</f>
        <v>22.5</v>
      </c>
      <c r="I20" s="492"/>
      <c r="J20" s="152" t="s">
        <v>343</v>
      </c>
      <c r="M20" s="491" t="str">
        <f>IF(OR(C20&lt;H20,C20=H20),"ＯＫ","ＮＧ")</f>
        <v>ＯＫ</v>
      </c>
      <c r="N20" s="491"/>
      <c r="Q20" s="143"/>
      <c r="R20" s="143"/>
    </row>
    <row r="21" spans="16:18" s="152" customFormat="1" ht="15" customHeight="1">
      <c r="P21" s="153"/>
      <c r="Q21" s="143"/>
      <c r="R21" s="143"/>
    </row>
    <row r="22" spans="9:16" s="152" customFormat="1" ht="15" customHeight="1">
      <c r="I22" s="153" t="s">
        <v>523</v>
      </c>
      <c r="J22" s="493">
        <f>'入力表'!I62</f>
        <v>1.5</v>
      </c>
      <c r="K22" s="493"/>
      <c r="L22" s="152" t="s">
        <v>355</v>
      </c>
      <c r="N22" s="152" t="s">
        <v>345</v>
      </c>
      <c r="O22" s="143"/>
      <c r="P22" s="143"/>
    </row>
    <row r="23" spans="2:18" s="152" customFormat="1" ht="15" customHeight="1">
      <c r="B23" s="158" t="s">
        <v>346</v>
      </c>
      <c r="I23" s="143"/>
      <c r="J23" s="143"/>
      <c r="K23" s="143"/>
      <c r="M23" s="143"/>
      <c r="N23" s="143"/>
      <c r="P23" s="153"/>
      <c r="Q23" s="143"/>
      <c r="R23" s="143"/>
    </row>
    <row r="24" spans="2:18" s="152" customFormat="1" ht="15" customHeight="1">
      <c r="B24" s="153"/>
      <c r="G24" s="153" t="s">
        <v>525</v>
      </c>
      <c r="H24" s="162">
        <f>1000*P*N24/J22</f>
        <v>1184000</v>
      </c>
      <c r="I24" s="163"/>
      <c r="J24" s="152" t="s">
        <v>347</v>
      </c>
      <c r="M24" s="153" t="s">
        <v>219</v>
      </c>
      <c r="N24" s="152">
        <v>2</v>
      </c>
      <c r="O24" s="152" t="s">
        <v>96</v>
      </c>
      <c r="P24" s="153"/>
      <c r="Q24" s="164"/>
      <c r="R24" s="164"/>
    </row>
    <row r="25" s="152" customFormat="1" ht="15" customHeight="1">
      <c r="B25" s="158" t="s">
        <v>81</v>
      </c>
    </row>
    <row r="26" spans="3:18" ht="30" customHeight="1">
      <c r="C26" s="494" t="s">
        <v>526</v>
      </c>
      <c r="D26" s="494"/>
      <c r="E26" s="494"/>
      <c r="F26" s="494"/>
      <c r="G26" s="494"/>
      <c r="H26" s="494"/>
      <c r="I26" s="494"/>
      <c r="J26" s="494"/>
      <c r="K26" s="494"/>
      <c r="L26" s="494"/>
      <c r="M26" s="494"/>
      <c r="N26" s="494"/>
      <c r="O26" s="494"/>
      <c r="P26" s="494"/>
      <c r="Q26" s="494"/>
      <c r="R26" s="494"/>
    </row>
    <row r="27" spans="3:18" ht="15" customHeight="1">
      <c r="C27" s="125"/>
      <c r="D27" s="125"/>
      <c r="E27" s="125"/>
      <c r="F27" s="125"/>
      <c r="G27" s="125"/>
      <c r="H27" s="125"/>
      <c r="I27" s="125"/>
      <c r="J27" s="125"/>
      <c r="K27" s="125"/>
      <c r="L27" s="125"/>
      <c r="M27" s="125"/>
      <c r="N27" s="125"/>
      <c r="O27" s="125"/>
      <c r="P27" s="125"/>
      <c r="Q27" s="125"/>
      <c r="R27" s="125"/>
    </row>
    <row r="28" ht="12.75"/>
    <row r="29" spans="14:16" ht="13.5" customHeight="1">
      <c r="N29" s="120"/>
      <c r="O29" s="120"/>
      <c r="P29" s="120"/>
    </row>
    <row r="30" spans="8:13" ht="16.5" customHeight="1">
      <c r="H30" s="120"/>
      <c r="M30" s="120"/>
    </row>
    <row r="31" ht="13.5" customHeight="1"/>
    <row r="32" ht="12.75"/>
    <row r="33" ht="12.75"/>
    <row r="34" ht="12.75"/>
    <row r="35" ht="12.75"/>
    <row r="36" ht="12.75"/>
    <row r="37" ht="12.75"/>
    <row r="38" ht="12.75"/>
    <row r="39" spans="7:16" ht="12.75">
      <c r="G39" s="120"/>
      <c r="H39" s="120"/>
      <c r="I39" s="120"/>
      <c r="J39" s="120"/>
      <c r="K39" s="120"/>
      <c r="L39" s="120"/>
      <c r="M39" s="120"/>
      <c r="N39" s="120"/>
      <c r="O39" s="120"/>
      <c r="P39" s="120"/>
    </row>
    <row r="40" ht="12.75"/>
    <row r="41" ht="12.75"/>
    <row r="42" ht="12.75"/>
    <row r="43" ht="12.75"/>
    <row r="44" ht="12.75"/>
    <row r="45" ht="12.75">
      <c r="D45" s="120"/>
    </row>
    <row r="46" ht="12.75"/>
    <row r="47" ht="12.75"/>
    <row r="48" ht="12.75"/>
    <row r="49" ht="12.75"/>
    <row r="50" ht="12.75"/>
    <row r="51" ht="12.75">
      <c r="C51" s="124"/>
    </row>
    <row r="53" spans="2:18" s="152" customFormat="1" ht="15" customHeight="1">
      <c r="B53" s="153" t="s">
        <v>220</v>
      </c>
      <c r="C53" s="487">
        <f>I6+C9</f>
        <v>1001</v>
      </c>
      <c r="D53" s="487"/>
      <c r="E53" s="143" t="s">
        <v>216</v>
      </c>
      <c r="F53" s="496">
        <f>C9</f>
        <v>250</v>
      </c>
      <c r="G53" s="496"/>
      <c r="H53" s="152" t="s">
        <v>221</v>
      </c>
      <c r="I53" s="487">
        <f>I5</f>
        <v>850</v>
      </c>
      <c r="J53" s="487"/>
      <c r="K53" s="161" t="s">
        <v>110</v>
      </c>
      <c r="L53" s="143">
        <v>2</v>
      </c>
      <c r="M53" s="165" t="s">
        <v>222</v>
      </c>
      <c r="N53" s="143" t="s">
        <v>217</v>
      </c>
      <c r="O53" s="143" t="s">
        <v>110</v>
      </c>
      <c r="P53" s="144">
        <f>I53</f>
        <v>850</v>
      </c>
      <c r="Q53" s="143" t="s">
        <v>221</v>
      </c>
      <c r="R53" s="144">
        <f>I53</f>
        <v>850</v>
      </c>
    </row>
    <row r="54" spans="2:14" s="152" customFormat="1" ht="15" customHeight="1">
      <c r="B54" s="153" t="s">
        <v>5</v>
      </c>
      <c r="C54" s="487">
        <f>(C53+F53)*I53*2+(PI()*P53)*R53</f>
        <v>4396500.692218626</v>
      </c>
      <c r="D54" s="487"/>
      <c r="E54" s="487"/>
      <c r="F54" s="152" t="s">
        <v>356</v>
      </c>
      <c r="G54" s="143" t="s">
        <v>13</v>
      </c>
      <c r="H54" s="495">
        <f>H24</f>
        <v>1184000</v>
      </c>
      <c r="I54" s="495"/>
      <c r="J54" s="495"/>
      <c r="K54" s="152" t="s">
        <v>356</v>
      </c>
      <c r="M54" s="491" t="str">
        <f>IF(OR(C54&gt;H54,C54=H54),"ＯＫ","ＮＧ")</f>
        <v>ＯＫ</v>
      </c>
      <c r="N54" s="491"/>
    </row>
  </sheetData>
  <sheetProtection sheet="1" objects="1" scenarios="1"/>
  <mergeCells count="22">
    <mergeCell ref="I4:J4"/>
    <mergeCell ref="I6:J6"/>
    <mergeCell ref="C10:D10"/>
    <mergeCell ref="D12:E12"/>
    <mergeCell ref="G12:H12"/>
    <mergeCell ref="D9:E9"/>
    <mergeCell ref="I5:J5"/>
    <mergeCell ref="C13:D13"/>
    <mergeCell ref="I53:J53"/>
    <mergeCell ref="C16:D16"/>
    <mergeCell ref="E16:F16"/>
    <mergeCell ref="C20:D20"/>
    <mergeCell ref="E20:F20"/>
    <mergeCell ref="C53:D53"/>
    <mergeCell ref="M54:N54"/>
    <mergeCell ref="H20:I20"/>
    <mergeCell ref="M20:N20"/>
    <mergeCell ref="J22:K22"/>
    <mergeCell ref="C26:R26"/>
    <mergeCell ref="C54:E54"/>
    <mergeCell ref="H54:J54"/>
    <mergeCell ref="F53:G53"/>
  </mergeCells>
  <printOptions/>
  <pageMargins left="0.98425196850393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47"/>
  <sheetViews>
    <sheetView zoomScalePageLayoutView="0" workbookViewId="0" topLeftCell="A1">
      <selection activeCell="G9" sqref="G9"/>
    </sheetView>
  </sheetViews>
  <sheetFormatPr defaultColWidth="9.00390625" defaultRowHeight="13.5"/>
  <cols>
    <col min="1" max="18" width="4.625" style="193" customWidth="1"/>
    <col min="19" max="19" width="4.375" style="193" customWidth="1"/>
    <col min="20" max="16384" width="9.00390625" style="193" customWidth="1"/>
  </cols>
  <sheetData>
    <row r="1" spans="1:18" ht="14.25" customHeight="1">
      <c r="A1" s="438" t="str">
        <f>CONCATENATE('入力表'!B2," 落橋防止装置の設計")</f>
        <v>1000kNタイプ 落橋防止装置の設計</v>
      </c>
      <c r="B1" s="438"/>
      <c r="C1" s="438"/>
      <c r="D1" s="438"/>
      <c r="E1" s="438"/>
      <c r="F1" s="438"/>
      <c r="G1" s="438"/>
      <c r="H1" s="438"/>
      <c r="I1" s="438"/>
      <c r="J1" s="438"/>
      <c r="K1" s="438"/>
      <c r="L1" s="438"/>
      <c r="M1" s="438"/>
      <c r="N1" s="438"/>
      <c r="O1" s="438"/>
      <c r="P1" s="438"/>
      <c r="Q1" s="438"/>
      <c r="R1" s="438"/>
    </row>
    <row r="2" ht="14.25" customHeight="1"/>
    <row r="3" ht="14.25" customHeight="1">
      <c r="A3" s="193" t="s">
        <v>0</v>
      </c>
    </row>
    <row r="4" spans="1:19" ht="28.5" customHeight="1">
      <c r="A4" s="194" t="s">
        <v>89</v>
      </c>
      <c r="B4" s="430" t="s">
        <v>287</v>
      </c>
      <c r="C4" s="430"/>
      <c r="D4" s="430"/>
      <c r="E4" s="430"/>
      <c r="F4" s="430"/>
      <c r="G4" s="430"/>
      <c r="H4" s="430"/>
      <c r="I4" s="430"/>
      <c r="J4" s="430"/>
      <c r="K4" s="430"/>
      <c r="L4" s="430"/>
      <c r="M4" s="430"/>
      <c r="N4" s="430"/>
      <c r="O4" s="430"/>
      <c r="P4" s="430"/>
      <c r="Q4" s="430"/>
      <c r="R4" s="430"/>
      <c r="S4" s="195"/>
    </row>
    <row r="5" spans="1:19" ht="28.5" customHeight="1">
      <c r="A5" s="194" t="s">
        <v>90</v>
      </c>
      <c r="B5" s="430" t="s">
        <v>288</v>
      </c>
      <c r="C5" s="430"/>
      <c r="D5" s="430"/>
      <c r="E5" s="430"/>
      <c r="F5" s="430"/>
      <c r="G5" s="430"/>
      <c r="H5" s="430"/>
      <c r="I5" s="430"/>
      <c r="J5" s="430"/>
      <c r="K5" s="430"/>
      <c r="L5" s="430"/>
      <c r="M5" s="430"/>
      <c r="N5" s="430"/>
      <c r="O5" s="430"/>
      <c r="P5" s="430"/>
      <c r="Q5" s="430"/>
      <c r="R5" s="430"/>
      <c r="S5" s="195"/>
    </row>
    <row r="6" spans="1:19" s="199" customFormat="1" ht="15" customHeight="1">
      <c r="A6" s="196" t="s">
        <v>233</v>
      </c>
      <c r="B6" s="431" t="s">
        <v>289</v>
      </c>
      <c r="C6" s="437"/>
      <c r="D6" s="437"/>
      <c r="E6" s="437"/>
      <c r="F6" s="437"/>
      <c r="G6" s="437"/>
      <c r="H6" s="437"/>
      <c r="I6" s="437"/>
      <c r="J6" s="437"/>
      <c r="K6" s="437"/>
      <c r="L6" s="437"/>
      <c r="M6" s="437"/>
      <c r="N6" s="437"/>
      <c r="O6" s="437"/>
      <c r="P6" s="437"/>
      <c r="Q6" s="437"/>
      <c r="R6" s="437"/>
      <c r="S6" s="198"/>
    </row>
    <row r="7" spans="1:19" ht="28.5" customHeight="1">
      <c r="A7" s="194" t="s">
        <v>235</v>
      </c>
      <c r="B7" s="430" t="s">
        <v>290</v>
      </c>
      <c r="C7" s="430"/>
      <c r="D7" s="430"/>
      <c r="E7" s="430"/>
      <c r="F7" s="430"/>
      <c r="G7" s="430"/>
      <c r="H7" s="430"/>
      <c r="I7" s="430"/>
      <c r="J7" s="430"/>
      <c r="K7" s="430"/>
      <c r="L7" s="430"/>
      <c r="M7" s="430"/>
      <c r="N7" s="430"/>
      <c r="O7" s="430"/>
      <c r="P7" s="430"/>
      <c r="Q7" s="430"/>
      <c r="R7" s="430"/>
      <c r="S7" s="195"/>
    </row>
    <row r="8" s="199" customFormat="1" ht="14.25" customHeight="1"/>
    <row r="9" s="199" customFormat="1" ht="14.25" customHeight="1">
      <c r="A9" s="199" t="s">
        <v>2</v>
      </c>
    </row>
    <row r="10" spans="6:14" s="199" customFormat="1" ht="14.25" customHeight="1">
      <c r="F10" s="196" t="s">
        <v>291</v>
      </c>
      <c r="G10" s="440">
        <f>'入力表'!D6</f>
        <v>592</v>
      </c>
      <c r="H10" s="440"/>
      <c r="I10" s="199" t="s">
        <v>292</v>
      </c>
      <c r="L10" s="196" t="s">
        <v>3</v>
      </c>
      <c r="M10" s="166">
        <f>'入力表'!D7</f>
        <v>1</v>
      </c>
      <c r="N10" s="199" t="s">
        <v>4</v>
      </c>
    </row>
    <row r="11" spans="2:3" s="199" customFormat="1" ht="14.25" customHeight="1">
      <c r="B11" s="199" t="s">
        <v>293</v>
      </c>
      <c r="C11" s="202"/>
    </row>
    <row r="12" spans="6:9" s="199" customFormat="1" ht="14.25" customHeight="1">
      <c r="F12" s="196" t="s">
        <v>294</v>
      </c>
      <c r="G12" s="433">
        <f>1.5*G10</f>
        <v>888</v>
      </c>
      <c r="H12" s="433"/>
      <c r="I12" s="199" t="s">
        <v>292</v>
      </c>
    </row>
    <row r="13" spans="2:4" s="199" customFormat="1" ht="14.25" customHeight="1">
      <c r="B13" s="199" t="s">
        <v>295</v>
      </c>
      <c r="C13" s="169"/>
      <c r="D13" s="169"/>
    </row>
    <row r="14" spans="6:16" s="199" customFormat="1" ht="14.25" customHeight="1">
      <c r="F14" s="196" t="s">
        <v>123</v>
      </c>
      <c r="G14" s="433">
        <f>G12</f>
        <v>888</v>
      </c>
      <c r="H14" s="433"/>
      <c r="I14" s="154" t="s">
        <v>6</v>
      </c>
      <c r="J14" s="199">
        <f>M10</f>
        <v>1</v>
      </c>
      <c r="K14" s="154" t="s">
        <v>5</v>
      </c>
      <c r="L14" s="433">
        <f>ROUND(G14/J14,1)</f>
        <v>888</v>
      </c>
      <c r="M14" s="433"/>
      <c r="N14" s="199" t="s">
        <v>292</v>
      </c>
      <c r="O14" s="169"/>
      <c r="P14" s="169"/>
    </row>
    <row r="15" s="199" customFormat="1" ht="14.25" customHeight="1"/>
    <row r="16" spans="2:17" s="199" customFormat="1" ht="14.25" customHeight="1">
      <c r="B16" s="437" t="s">
        <v>7</v>
      </c>
      <c r="C16" s="437"/>
      <c r="D16" s="437"/>
      <c r="E16" s="154" t="s">
        <v>8</v>
      </c>
      <c r="F16" s="439" t="str">
        <f>IF('入力表'!D5="高耐食型","G","")&amp;ｹｰﾌﾞﾙﾀｲﾌﾟ</f>
        <v>1000</v>
      </c>
      <c r="G16" s="439"/>
      <c r="H16" s="199" t="s">
        <v>296</v>
      </c>
      <c r="K16" s="437" t="s">
        <v>297</v>
      </c>
      <c r="L16" s="437"/>
      <c r="M16" s="437"/>
      <c r="N16" s="154" t="s">
        <v>8</v>
      </c>
      <c r="O16" s="440">
        <f>'入力表'!U22</f>
        <v>1044</v>
      </c>
      <c r="P16" s="440"/>
      <c r="Q16" s="199" t="s">
        <v>292</v>
      </c>
    </row>
    <row r="17" spans="2:17" s="199" customFormat="1" ht="14.25" customHeight="1">
      <c r="B17" s="437" t="s">
        <v>9</v>
      </c>
      <c r="C17" s="437"/>
      <c r="D17" s="437"/>
      <c r="E17" s="154" t="s">
        <v>8</v>
      </c>
      <c r="F17" s="432" t="str">
        <f>IF('入力表'!D5="一般型",'入力表'!T22,'入力表'!S22)</f>
        <v>4S15.2</v>
      </c>
      <c r="G17" s="432"/>
      <c r="K17" s="437" t="s">
        <v>112</v>
      </c>
      <c r="L17" s="437"/>
      <c r="M17" s="437"/>
      <c r="N17" s="154" t="s">
        <v>8</v>
      </c>
      <c r="O17" s="440">
        <f>'入力表'!V22</f>
        <v>888</v>
      </c>
      <c r="P17" s="440"/>
      <c r="Q17" s="199" t="s">
        <v>115</v>
      </c>
    </row>
    <row r="18" spans="2:8" s="199" customFormat="1" ht="14.25" customHeight="1">
      <c r="B18" s="437" t="s">
        <v>10</v>
      </c>
      <c r="C18" s="437"/>
      <c r="D18" s="437"/>
      <c r="E18" s="154" t="s">
        <v>8</v>
      </c>
      <c r="F18" s="432">
        <f>'入力表'!W22</f>
        <v>554.8</v>
      </c>
      <c r="G18" s="432"/>
      <c r="H18" s="199" t="s">
        <v>357</v>
      </c>
    </row>
    <row r="19" s="199" customFormat="1" ht="14.25" customHeight="1">
      <c r="B19" s="199" t="s">
        <v>116</v>
      </c>
    </row>
    <row r="20" spans="6:9" s="199" customFormat="1" ht="14.25" customHeight="1">
      <c r="F20" s="196" t="s">
        <v>11</v>
      </c>
      <c r="G20" s="433">
        <f>0.6*O16</f>
        <v>626.4</v>
      </c>
      <c r="H20" s="433"/>
      <c r="I20" s="199" t="s">
        <v>115</v>
      </c>
    </row>
    <row r="21" spans="2:18" s="199" customFormat="1" ht="28.5" customHeight="1">
      <c r="B21" s="431" t="s">
        <v>117</v>
      </c>
      <c r="C21" s="431"/>
      <c r="D21" s="431"/>
      <c r="E21" s="431"/>
      <c r="F21" s="431"/>
      <c r="G21" s="431"/>
      <c r="H21" s="431"/>
      <c r="I21" s="431"/>
      <c r="J21" s="431"/>
      <c r="K21" s="431"/>
      <c r="L21" s="431"/>
      <c r="M21" s="431"/>
      <c r="N21" s="431"/>
      <c r="O21" s="431"/>
      <c r="P21" s="431"/>
      <c r="Q21" s="431"/>
      <c r="R21" s="431"/>
    </row>
    <row r="22" spans="6:16" s="199" customFormat="1" ht="14.25" customHeight="1">
      <c r="F22" s="196" t="s">
        <v>12</v>
      </c>
      <c r="G22" s="433">
        <f>O17</f>
        <v>888</v>
      </c>
      <c r="H22" s="433"/>
      <c r="I22" s="199" t="s">
        <v>115</v>
      </c>
      <c r="J22" s="154" t="s">
        <v>13</v>
      </c>
      <c r="K22" s="433">
        <f>L14</f>
        <v>888</v>
      </c>
      <c r="L22" s="433"/>
      <c r="M22" s="199" t="s">
        <v>115</v>
      </c>
      <c r="O22" s="423" t="str">
        <f>IF(OR(G22&gt;K22,G22=K22),"ＯＫ","ＮＧ")</f>
        <v>ＯＫ</v>
      </c>
      <c r="P22" s="423"/>
    </row>
    <row r="23" s="199" customFormat="1" ht="14.25" customHeight="1"/>
    <row r="24" spans="1:7" s="199" customFormat="1" ht="14.25" customHeight="1">
      <c r="A24" s="199" t="s">
        <v>14</v>
      </c>
      <c r="G24" s="199" t="s">
        <v>118</v>
      </c>
    </row>
    <row r="25" spans="2:18" s="199" customFormat="1" ht="14.25" customHeight="1">
      <c r="B25" s="431" t="s">
        <v>119</v>
      </c>
      <c r="C25" s="431"/>
      <c r="D25" s="431"/>
      <c r="E25" s="431"/>
      <c r="F25" s="431"/>
      <c r="G25" s="431"/>
      <c r="H25" s="431"/>
      <c r="I25" s="431"/>
      <c r="J25" s="431"/>
      <c r="K25" s="431"/>
      <c r="L25" s="431"/>
      <c r="M25" s="431"/>
      <c r="N25" s="431"/>
      <c r="O25" s="431"/>
      <c r="P25" s="431"/>
      <c r="Q25" s="431"/>
      <c r="R25" s="431"/>
    </row>
    <row r="26" spans="2:18" s="199" customFormat="1" ht="14.25" customHeight="1">
      <c r="B26" s="431" t="s">
        <v>410</v>
      </c>
      <c r="C26" s="431"/>
      <c r="D26" s="431"/>
      <c r="E26" s="431"/>
      <c r="F26" s="431"/>
      <c r="G26" s="431"/>
      <c r="H26" s="431"/>
      <c r="I26" s="431"/>
      <c r="J26" s="431"/>
      <c r="K26" s="431"/>
      <c r="L26" s="431"/>
      <c r="M26" s="431"/>
      <c r="N26" s="431"/>
      <c r="O26" s="431"/>
      <c r="P26" s="431"/>
      <c r="Q26" s="431"/>
      <c r="R26" s="431"/>
    </row>
    <row r="27" spans="6:8" s="199" customFormat="1" ht="14.25" customHeight="1">
      <c r="F27" s="196" t="s">
        <v>124</v>
      </c>
      <c r="G27" s="199">
        <f>1.5*12</f>
        <v>18</v>
      </c>
      <c r="H27" s="199" t="s">
        <v>358</v>
      </c>
    </row>
    <row r="28" spans="2:6" s="199" customFormat="1" ht="14.25" customHeight="1">
      <c r="B28" s="198" t="s">
        <v>125</v>
      </c>
      <c r="C28" s="169"/>
      <c r="D28" s="169"/>
      <c r="E28" s="169"/>
      <c r="F28" s="169"/>
    </row>
    <row r="29" spans="6:10" s="199" customFormat="1" ht="14.25" customHeight="1">
      <c r="F29" s="196" t="s">
        <v>126</v>
      </c>
      <c r="G29" s="426">
        <f>1000*L14/G27</f>
        <v>49333.333333333336</v>
      </c>
      <c r="H29" s="426"/>
      <c r="I29" s="426"/>
      <c r="J29" s="199" t="s">
        <v>357</v>
      </c>
    </row>
    <row r="30" spans="2:14" s="199" customFormat="1" ht="14.25" customHeight="1">
      <c r="B30" s="199" t="s">
        <v>113</v>
      </c>
      <c r="C30" s="166">
        <f>'入力表'!Y22</f>
        <v>250</v>
      </c>
      <c r="D30" s="154" t="s">
        <v>15</v>
      </c>
      <c r="E30" s="168">
        <f>C30</f>
        <v>250</v>
      </c>
      <c r="F30" s="199" t="s">
        <v>409</v>
      </c>
      <c r="G30" s="425" t="s">
        <v>114</v>
      </c>
      <c r="H30" s="425"/>
      <c r="I30" s="168">
        <f>'入力表'!AA22</f>
        <v>105</v>
      </c>
      <c r="J30" s="199" t="s">
        <v>409</v>
      </c>
      <c r="K30" s="425" t="s">
        <v>120</v>
      </c>
      <c r="L30" s="425"/>
      <c r="M30" s="198">
        <v>50</v>
      </c>
      <c r="N30" s="199" t="s">
        <v>1</v>
      </c>
    </row>
    <row r="31" s="199" customFormat="1" ht="14.25" customHeight="1">
      <c r="B31" s="199" t="s">
        <v>106</v>
      </c>
    </row>
    <row r="32" spans="2:7" s="199" customFormat="1" ht="14.25" customHeight="1">
      <c r="B32" s="196" t="s">
        <v>16</v>
      </c>
      <c r="C32" s="205">
        <f>C30</f>
        <v>250</v>
      </c>
      <c r="D32" s="424" t="s">
        <v>408</v>
      </c>
      <c r="E32" s="424"/>
      <c r="F32" s="173">
        <f>I30</f>
        <v>105</v>
      </c>
      <c r="G32" s="207">
        <v>2</v>
      </c>
    </row>
    <row r="33" spans="2:16" s="199" customFormat="1" ht="14.25" customHeight="1">
      <c r="B33" s="196" t="s">
        <v>5</v>
      </c>
      <c r="C33" s="426">
        <f>C32^2-PI()/4*F32^2</f>
        <v>53840.98524854313</v>
      </c>
      <c r="D33" s="426"/>
      <c r="E33" s="199" t="s">
        <v>357</v>
      </c>
      <c r="G33" s="154" t="s">
        <v>13</v>
      </c>
      <c r="H33" s="426">
        <f>G29</f>
        <v>49333.333333333336</v>
      </c>
      <c r="I33" s="426"/>
      <c r="J33" s="199" t="s">
        <v>357</v>
      </c>
      <c r="O33" s="423" t="str">
        <f>IF(OR(C33&gt;H33,C33=H33),"ＯＫ","ＮＧ")</f>
        <v>ＯＫ</v>
      </c>
      <c r="P33" s="423"/>
    </row>
    <row r="34" spans="9:10" s="199" customFormat="1" ht="14.25" customHeight="1">
      <c r="I34" s="173"/>
      <c r="J34" s="173"/>
    </row>
    <row r="35" spans="1:2" s="199" customFormat="1" ht="14.25" customHeight="1">
      <c r="A35" s="199" t="s">
        <v>107</v>
      </c>
      <c r="B35" s="196"/>
    </row>
    <row r="36" spans="2:19" s="199" customFormat="1" ht="14.25" customHeight="1">
      <c r="B36" s="431" t="s">
        <v>108</v>
      </c>
      <c r="C36" s="431"/>
      <c r="D36" s="431"/>
      <c r="E36" s="431"/>
      <c r="F36" s="431"/>
      <c r="G36" s="431"/>
      <c r="H36" s="431"/>
      <c r="I36" s="431"/>
      <c r="J36" s="431"/>
      <c r="K36" s="431"/>
      <c r="L36" s="431"/>
      <c r="M36" s="431"/>
      <c r="N36" s="431"/>
      <c r="O36" s="431"/>
      <c r="P36" s="431"/>
      <c r="Q36" s="431"/>
      <c r="R36" s="431"/>
      <c r="S36" s="197"/>
    </row>
    <row r="37" spans="1:18" s="199" customFormat="1" ht="14.25" customHeight="1">
      <c r="A37" s="196" t="str">
        <f>IF('入力表'!D11="その他","","①")</f>
        <v>①</v>
      </c>
      <c r="B37" s="431" t="str">
        <f>IF('入力表'!D11="その他","","支承ゴム厚の"&amp;'入力表'!D15&amp;"％せん断変形量に、余裕量を加算したものを地震時の桁の移動量とする。")</f>
        <v>支承ゴム厚の250％せん断変形量に、余裕量を加算したものを地震時の桁の移動量とする。</v>
      </c>
      <c r="C37" s="431"/>
      <c r="D37" s="431"/>
      <c r="E37" s="431"/>
      <c r="F37" s="431"/>
      <c r="G37" s="431"/>
      <c r="H37" s="431"/>
      <c r="I37" s="431"/>
      <c r="J37" s="431"/>
      <c r="K37" s="431"/>
      <c r="L37" s="431"/>
      <c r="M37" s="431"/>
      <c r="N37" s="431"/>
      <c r="O37" s="431"/>
      <c r="P37" s="431"/>
      <c r="Q37" s="431"/>
      <c r="R37" s="431"/>
    </row>
    <row r="38" spans="1:18" ht="28.5" customHeight="1">
      <c r="A38" s="194" t="str">
        <f>IF('入力表'!D11="その他","","②")</f>
        <v>②</v>
      </c>
      <c r="B38" s="430" t="s">
        <v>109</v>
      </c>
      <c r="C38" s="430"/>
      <c r="D38" s="430"/>
      <c r="E38" s="430"/>
      <c r="F38" s="430"/>
      <c r="G38" s="430"/>
      <c r="H38" s="430"/>
      <c r="I38" s="430"/>
      <c r="J38" s="430"/>
      <c r="K38" s="430"/>
      <c r="L38" s="430"/>
      <c r="M38" s="430"/>
      <c r="N38" s="430"/>
      <c r="O38" s="430"/>
      <c r="P38" s="430"/>
      <c r="Q38" s="430"/>
      <c r="R38" s="430"/>
    </row>
    <row r="39" spans="1:22" s="199" customFormat="1" ht="14.25" customHeight="1">
      <c r="A39" s="201"/>
      <c r="B39" s="428" t="str">
        <f>IF('入力表'!D11="その他","","ゴム厚さ")</f>
        <v>ゴム厚さ</v>
      </c>
      <c r="C39" s="428"/>
      <c r="D39" s="428"/>
      <c r="E39" s="201">
        <f>IF('入力表'!D11="その他","",'入力表'!D13)</f>
        <v>18</v>
      </c>
      <c r="F39" s="154" t="str">
        <f>IF('入力表'!D11="その他","","×")</f>
        <v>×</v>
      </c>
      <c r="G39" s="208">
        <f>IF('入力表'!D11="その他","",'入力表'!D14)</f>
        <v>10</v>
      </c>
      <c r="H39" s="428">
        <f>IF('入力表'!D11="その他","",E39*G39)</f>
        <v>180</v>
      </c>
      <c r="I39" s="428"/>
      <c r="J39" s="436" t="str">
        <f>IF('入力表'!D11="その他","","mm、 余裕量")</f>
        <v>mm、 余裕量</v>
      </c>
      <c r="K39" s="436"/>
      <c r="L39" s="436"/>
      <c r="M39" s="201">
        <f>IF('入力表'!D11="その他","",'入力表'!D16)</f>
        <v>50</v>
      </c>
      <c r="N39" s="436" t="str">
        <f>IF('入力表'!D11="その他","","mmとすると")</f>
        <v>mmとすると</v>
      </c>
      <c r="O39" s="436"/>
      <c r="P39" s="436"/>
      <c r="Q39" s="201"/>
      <c r="R39" s="201"/>
      <c r="S39" s="201"/>
      <c r="T39" s="201"/>
      <c r="U39" s="201"/>
      <c r="V39" s="201"/>
    </row>
    <row r="40" spans="1:19" s="199" customFormat="1" ht="14.25" customHeight="1">
      <c r="A40" s="201"/>
      <c r="B40" s="428" t="str">
        <f>IF('入力表'!D11="その他","","桁の移動量")</f>
        <v>桁の移動量</v>
      </c>
      <c r="C40" s="428"/>
      <c r="D40" s="428"/>
      <c r="E40" s="201">
        <f>H39</f>
        <v>180</v>
      </c>
      <c r="F40" s="200" t="str">
        <f>IF('入力表'!D11="その他","","×")</f>
        <v>×</v>
      </c>
      <c r="G40" s="201">
        <f>IF('入力表'!D11="その他","",'入力表'!D15/100)</f>
        <v>2.5</v>
      </c>
      <c r="H40" s="429">
        <f>M39</f>
        <v>50</v>
      </c>
      <c r="I40" s="429"/>
      <c r="J40" s="428">
        <f>IF('入力表'!D11="その他","",ROUND(E40*G40+H40,0))</f>
        <v>500</v>
      </c>
      <c r="K40" s="428"/>
      <c r="L40" s="201" t="str">
        <f>IF('入力表'!D11="その他","","mm")</f>
        <v>mm</v>
      </c>
      <c r="O40" s="201"/>
      <c r="P40" s="201"/>
      <c r="Q40" s="201"/>
      <c r="R40" s="201"/>
      <c r="S40" s="201"/>
    </row>
    <row r="41" spans="2:9" s="199" customFormat="1" ht="14.25" customHeight="1">
      <c r="B41" s="199" t="s">
        <v>18</v>
      </c>
      <c r="G41" s="196" t="s">
        <v>19</v>
      </c>
      <c r="H41" s="166">
        <f>'入力表'!D12</f>
        <v>2</v>
      </c>
      <c r="I41" s="199" t="s">
        <v>20</v>
      </c>
    </row>
    <row r="42" spans="2:8" s="199" customFormat="1" ht="14.25" customHeight="1">
      <c r="B42" s="199" t="s">
        <v>21</v>
      </c>
      <c r="G42" s="196" t="s">
        <v>127</v>
      </c>
      <c r="H42" s="199" t="s">
        <v>22</v>
      </c>
    </row>
    <row r="43" spans="7:15" s="199" customFormat="1" ht="14.25" customHeight="1">
      <c r="G43" s="196" t="s">
        <v>5</v>
      </c>
      <c r="H43" s="435">
        <f>IF('入力表'!D11="その他",'入力表'!D18,'入力表'!D17)</f>
        <v>500</v>
      </c>
      <c r="I43" s="435"/>
      <c r="J43" s="209" t="s">
        <v>111</v>
      </c>
      <c r="K43" s="154">
        <f>H41</f>
        <v>2</v>
      </c>
      <c r="L43" s="196" t="s">
        <v>5</v>
      </c>
      <c r="M43" s="434">
        <f>H43/H41</f>
        <v>250</v>
      </c>
      <c r="N43" s="434"/>
      <c r="O43" s="198"/>
    </row>
    <row r="44" spans="2:12" s="199" customFormat="1" ht="14.25" customHeight="1">
      <c r="B44" s="199" t="s">
        <v>23</v>
      </c>
      <c r="G44" s="196" t="s">
        <v>128</v>
      </c>
      <c r="H44" s="425" t="s">
        <v>24</v>
      </c>
      <c r="I44" s="427"/>
      <c r="J44" s="427"/>
      <c r="K44" s="210">
        <f>IF(M43&gt;300,3,2)</f>
        <v>2</v>
      </c>
      <c r="L44" s="199" t="s">
        <v>121</v>
      </c>
    </row>
    <row r="45" spans="7:13" s="199" customFormat="1" ht="14.25" customHeight="1">
      <c r="G45" s="196" t="s">
        <v>5</v>
      </c>
      <c r="H45" s="166">
        <f>'入力表'!AB22</f>
        <v>10</v>
      </c>
      <c r="I45" s="154" t="s">
        <v>15</v>
      </c>
      <c r="J45" s="155">
        <f>K44</f>
        <v>2</v>
      </c>
      <c r="K45" s="196" t="s">
        <v>5</v>
      </c>
      <c r="L45" s="199">
        <f>H45*J45</f>
        <v>20</v>
      </c>
      <c r="M45" s="211"/>
    </row>
    <row r="46" spans="2:12" s="199" customFormat="1" ht="14.25" customHeight="1">
      <c r="B46" s="199" t="s">
        <v>25</v>
      </c>
      <c r="G46" s="196" t="s">
        <v>26</v>
      </c>
      <c r="H46" s="199" t="s">
        <v>129</v>
      </c>
      <c r="K46" s="196" t="s">
        <v>5</v>
      </c>
      <c r="L46" s="199">
        <f>M43+L45</f>
        <v>270</v>
      </c>
    </row>
    <row r="47" spans="2:10" s="199" customFormat="1" ht="14.25" customHeight="1">
      <c r="B47" s="425" t="s">
        <v>122</v>
      </c>
      <c r="C47" s="425"/>
      <c r="D47" s="425"/>
      <c r="E47" s="425"/>
      <c r="F47" s="425"/>
      <c r="G47" s="425"/>
      <c r="H47" s="425"/>
      <c r="I47" s="166">
        <f>CEILING(L46,10)</f>
        <v>270</v>
      </c>
      <c r="J47" s="199" t="s">
        <v>1</v>
      </c>
    </row>
    <row r="48" ht="13.5" customHeight="1"/>
  </sheetData>
  <sheetProtection sheet="1" objects="1" scenarios="1"/>
  <mergeCells count="47">
    <mergeCell ref="A1:R1"/>
    <mergeCell ref="B6:R6"/>
    <mergeCell ref="G20:H20"/>
    <mergeCell ref="L14:M14"/>
    <mergeCell ref="G12:H12"/>
    <mergeCell ref="G14:H14"/>
    <mergeCell ref="F16:G16"/>
    <mergeCell ref="G10:H10"/>
    <mergeCell ref="O16:P16"/>
    <mergeCell ref="O17:P17"/>
    <mergeCell ref="B16:D16"/>
    <mergeCell ref="K16:M16"/>
    <mergeCell ref="B17:D17"/>
    <mergeCell ref="K17:M17"/>
    <mergeCell ref="G29:I29"/>
    <mergeCell ref="G30:H30"/>
    <mergeCell ref="F18:G18"/>
    <mergeCell ref="B21:R21"/>
    <mergeCell ref="G22:H22"/>
    <mergeCell ref="B18:D18"/>
    <mergeCell ref="N39:P39"/>
    <mergeCell ref="O33:P33"/>
    <mergeCell ref="B37:R37"/>
    <mergeCell ref="B39:D39"/>
    <mergeCell ref="B40:D40"/>
    <mergeCell ref="H39:I39"/>
    <mergeCell ref="J39:L39"/>
    <mergeCell ref="B4:R4"/>
    <mergeCell ref="B5:R5"/>
    <mergeCell ref="B7:R7"/>
    <mergeCell ref="B38:R38"/>
    <mergeCell ref="B25:R25"/>
    <mergeCell ref="B26:R26"/>
    <mergeCell ref="B36:R36"/>
    <mergeCell ref="C33:D33"/>
    <mergeCell ref="F17:G17"/>
    <mergeCell ref="K22:L22"/>
    <mergeCell ref="O22:P22"/>
    <mergeCell ref="D32:E32"/>
    <mergeCell ref="K30:L30"/>
    <mergeCell ref="H33:I33"/>
    <mergeCell ref="B47:H47"/>
    <mergeCell ref="H44:J44"/>
    <mergeCell ref="J40:K40"/>
    <mergeCell ref="H40:I40"/>
    <mergeCell ref="M43:N43"/>
    <mergeCell ref="H43:I43"/>
  </mergeCells>
  <printOptions/>
  <pageMargins left="0.98425196850393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T44"/>
  <sheetViews>
    <sheetView zoomScalePageLayoutView="0" workbookViewId="0" topLeftCell="A1">
      <selection activeCell="S5" sqref="S5"/>
    </sheetView>
  </sheetViews>
  <sheetFormatPr defaultColWidth="9.00390625" defaultRowHeight="13.5"/>
  <cols>
    <col min="1" max="21" width="4.375" style="219" customWidth="1"/>
    <col min="22" max="16384" width="9.00390625" style="219" customWidth="1"/>
  </cols>
  <sheetData>
    <row r="1" spans="1:9" s="199" customFormat="1" ht="15" customHeight="1">
      <c r="A1" s="437" t="s">
        <v>80</v>
      </c>
      <c r="B1" s="437"/>
      <c r="C1" s="437"/>
      <c r="D1" s="437"/>
      <c r="E1" s="437"/>
      <c r="F1" s="437"/>
      <c r="G1" s="437"/>
      <c r="H1" s="437"/>
      <c r="I1" s="437"/>
    </row>
    <row r="2" spans="1:2" s="199" customFormat="1" ht="15" customHeight="1">
      <c r="A2" s="196" t="s">
        <v>89</v>
      </c>
      <c r="B2" s="199" t="s">
        <v>91</v>
      </c>
    </row>
    <row r="3" spans="2:20" s="199" customFormat="1" ht="30" customHeight="1">
      <c r="B3" s="430" t="str">
        <f>"ＰＣｹｰﾌﾞﾙ定着部のﾘﾌﾞについては、下図に示すように有効幅を考慮して、設計を行うこととした。但し 鋼材の許容応力は、割増し係数 "&amp;'入力表'!D22&amp;" を考慮する。"</f>
        <v>ＰＣｹｰﾌﾞﾙ定着部のﾘﾌﾞについては、下図に示すように有効幅を考慮して、設計を行うこととした。但し 鋼材の許容応力は、割増し係数 1.5 を考慮する。</v>
      </c>
      <c r="C3" s="446"/>
      <c r="D3" s="446"/>
      <c r="E3" s="446"/>
      <c r="F3" s="446"/>
      <c r="G3" s="446"/>
      <c r="H3" s="446"/>
      <c r="I3" s="446"/>
      <c r="J3" s="446"/>
      <c r="K3" s="446"/>
      <c r="L3" s="446"/>
      <c r="M3" s="446"/>
      <c r="N3" s="446"/>
      <c r="O3" s="446"/>
      <c r="P3" s="446"/>
      <c r="Q3" s="446"/>
      <c r="R3" s="446"/>
      <c r="S3" s="446"/>
      <c r="T3" s="198"/>
    </row>
    <row r="4" spans="1:18" s="199" customFormat="1" ht="15" customHeight="1">
      <c r="A4" s="199" t="s">
        <v>190</v>
      </c>
      <c r="C4" s="196" t="s">
        <v>71</v>
      </c>
      <c r="D4" s="434" t="str">
        <f>'入力表'!D21</f>
        <v>SM400A</v>
      </c>
      <c r="E4" s="434"/>
      <c r="F4" s="434"/>
      <c r="H4" s="196" t="s">
        <v>459</v>
      </c>
      <c r="I4" s="426">
        <f>'入力表'!D23</f>
        <v>210</v>
      </c>
      <c r="J4" s="426"/>
      <c r="K4" s="198" t="s">
        <v>298</v>
      </c>
      <c r="L4" s="198"/>
      <c r="N4" s="196" t="s">
        <v>460</v>
      </c>
      <c r="O4" s="426">
        <f>'入力表'!D24</f>
        <v>120</v>
      </c>
      <c r="P4" s="426"/>
      <c r="Q4" s="198" t="s">
        <v>298</v>
      </c>
      <c r="R4" s="198"/>
    </row>
    <row r="5" s="199" customFormat="1" ht="15" customHeight="1"/>
    <row r="6" spans="1:19" s="199" customFormat="1" ht="15" customHeight="1">
      <c r="A6" s="169"/>
      <c r="B6" s="169"/>
      <c r="C6" s="169"/>
      <c r="D6" s="169"/>
      <c r="E6" s="169"/>
      <c r="H6" s="169"/>
      <c r="I6" s="169"/>
      <c r="J6" s="169"/>
      <c r="K6" s="169"/>
      <c r="L6" s="169"/>
      <c r="M6" s="169"/>
      <c r="N6" s="169"/>
      <c r="O6" s="169"/>
      <c r="P6" s="169"/>
      <c r="Q6" s="169"/>
      <c r="R6" s="169"/>
      <c r="S6" s="169"/>
    </row>
    <row r="7" spans="2:19" s="199" customFormat="1" ht="15" customHeight="1">
      <c r="B7" s="169"/>
      <c r="E7" s="169"/>
      <c r="H7" s="169"/>
      <c r="I7" s="169"/>
      <c r="J7" s="169"/>
      <c r="K7" s="169"/>
      <c r="L7" s="169"/>
      <c r="M7" s="169"/>
      <c r="N7" s="169"/>
      <c r="O7" s="169"/>
      <c r="P7" s="169"/>
      <c r="Q7" s="169"/>
      <c r="R7" s="169"/>
      <c r="S7" s="169"/>
    </row>
    <row r="8" spans="2:19" s="199" customFormat="1" ht="15" customHeight="1">
      <c r="B8" s="169"/>
      <c r="E8" s="169"/>
      <c r="H8" s="169"/>
      <c r="I8" s="169"/>
      <c r="J8" s="169"/>
      <c r="K8" s="169"/>
      <c r="L8" s="169"/>
      <c r="M8" s="169"/>
      <c r="N8" s="169"/>
      <c r="O8" s="169"/>
      <c r="P8" s="169"/>
      <c r="Q8" s="169"/>
      <c r="R8" s="169"/>
      <c r="S8" s="169"/>
    </row>
    <row r="9" spans="2:19" s="199" customFormat="1" ht="15" customHeight="1">
      <c r="B9" s="169"/>
      <c r="E9" s="169"/>
      <c r="H9" s="169"/>
      <c r="I9" s="169"/>
      <c r="J9" s="169"/>
      <c r="K9" s="169"/>
      <c r="L9" s="169"/>
      <c r="M9" s="169"/>
      <c r="N9" s="169"/>
      <c r="O9" s="169"/>
      <c r="P9" s="169"/>
      <c r="Q9" s="169"/>
      <c r="R9" s="169"/>
      <c r="S9" s="169"/>
    </row>
    <row r="10" spans="2:19" s="199" customFormat="1" ht="15" customHeight="1">
      <c r="B10" s="169"/>
      <c r="E10" s="169"/>
      <c r="H10" s="169"/>
      <c r="I10" s="169"/>
      <c r="J10" s="169"/>
      <c r="K10" s="169"/>
      <c r="L10" s="169"/>
      <c r="M10" s="169"/>
      <c r="N10" s="169"/>
      <c r="O10" s="169"/>
      <c r="P10" s="169"/>
      <c r="Q10" s="169"/>
      <c r="R10" s="169"/>
      <c r="S10" s="169"/>
    </row>
    <row r="11" spans="2:19" s="199" customFormat="1" ht="15" customHeight="1">
      <c r="B11" s="169"/>
      <c r="E11" s="169"/>
      <c r="H11" s="169"/>
      <c r="I11" s="169"/>
      <c r="J11" s="169"/>
      <c r="K11" s="169"/>
      <c r="L11" s="169"/>
      <c r="M11" s="169"/>
      <c r="N11" s="169"/>
      <c r="O11" s="169"/>
      <c r="P11" s="169"/>
      <c r="Q11" s="169"/>
      <c r="R11" s="169"/>
      <c r="S11" s="169"/>
    </row>
    <row r="12" spans="2:19" s="199" customFormat="1" ht="15" customHeight="1">
      <c r="B12" s="169"/>
      <c r="E12" s="169"/>
      <c r="K12" s="169"/>
      <c r="L12" s="169"/>
      <c r="M12" s="169"/>
      <c r="N12" s="169"/>
      <c r="O12" s="169"/>
      <c r="P12" s="169"/>
      <c r="Q12" s="169"/>
      <c r="R12" s="169"/>
      <c r="S12" s="169"/>
    </row>
    <row r="13" spans="2:19" s="199" customFormat="1" ht="15" customHeight="1">
      <c r="B13" s="169"/>
      <c r="E13" s="169"/>
      <c r="K13" s="169"/>
      <c r="L13" s="169"/>
      <c r="M13" s="169"/>
      <c r="N13" s="169"/>
      <c r="O13" s="169"/>
      <c r="P13" s="169"/>
      <c r="Q13" s="169"/>
      <c r="R13" s="169"/>
      <c r="S13" s="169"/>
    </row>
    <row r="14" spans="2:19" s="199" customFormat="1" ht="15" customHeight="1">
      <c r="B14" s="169"/>
      <c r="E14" s="169"/>
      <c r="K14" s="169"/>
      <c r="L14" s="169"/>
      <c r="M14" s="169"/>
      <c r="N14" s="169"/>
      <c r="O14" s="169"/>
      <c r="P14" s="169"/>
      <c r="Q14" s="169"/>
      <c r="R14" s="169"/>
      <c r="S14" s="169"/>
    </row>
    <row r="15" spans="2:19" s="199" customFormat="1" ht="15" customHeight="1">
      <c r="B15" s="169"/>
      <c r="E15" s="169"/>
      <c r="H15" s="169"/>
      <c r="I15" s="169"/>
      <c r="J15" s="169"/>
      <c r="K15" s="169"/>
      <c r="L15" s="169"/>
      <c r="M15" s="169"/>
      <c r="N15" s="169"/>
      <c r="O15" s="169"/>
      <c r="P15" s="169"/>
      <c r="Q15" s="169"/>
      <c r="R15" s="169"/>
      <c r="S15" s="169"/>
    </row>
    <row r="16" spans="2:19" s="199" customFormat="1" ht="15" customHeight="1">
      <c r="B16" s="169"/>
      <c r="E16" s="169"/>
      <c r="H16" s="169"/>
      <c r="I16" s="169"/>
      <c r="J16" s="169"/>
      <c r="K16" s="169"/>
      <c r="L16" s="169"/>
      <c r="M16" s="169"/>
      <c r="N16" s="169"/>
      <c r="O16" s="169"/>
      <c r="P16" s="169"/>
      <c r="Q16" s="169"/>
      <c r="R16" s="169"/>
      <c r="S16" s="169"/>
    </row>
    <row r="17" spans="1:19" s="199" customFormat="1" ht="15" customHeight="1">
      <c r="A17" s="169"/>
      <c r="B17" s="169"/>
      <c r="C17" s="169"/>
      <c r="D17" s="169"/>
      <c r="E17" s="169"/>
      <c r="H17" s="169"/>
      <c r="I17" s="169"/>
      <c r="J17" s="169"/>
      <c r="K17" s="169"/>
      <c r="L17" s="169"/>
      <c r="M17" s="169"/>
      <c r="N17" s="169"/>
      <c r="O17" s="169"/>
      <c r="P17" s="169"/>
      <c r="Q17" s="169"/>
      <c r="R17" s="169"/>
      <c r="S17" s="169"/>
    </row>
    <row r="18" spans="3:14" s="199" customFormat="1" ht="15" customHeight="1">
      <c r="C18" s="196" t="s">
        <v>27</v>
      </c>
      <c r="D18" s="435">
        <f>P*1000</f>
        <v>888000</v>
      </c>
      <c r="E18" s="435"/>
      <c r="F18" s="199" t="s">
        <v>192</v>
      </c>
      <c r="H18" s="169"/>
      <c r="I18" s="169"/>
      <c r="K18" s="196" t="s">
        <v>28</v>
      </c>
      <c r="L18" s="435">
        <f>H</f>
        <v>350</v>
      </c>
      <c r="M18" s="435"/>
      <c r="N18" s="199" t="s">
        <v>17</v>
      </c>
    </row>
    <row r="19" spans="3:14" s="199" customFormat="1" ht="15" customHeight="1">
      <c r="C19" s="196" t="s">
        <v>29</v>
      </c>
      <c r="D19" s="434">
        <f>'入力表'!D33</f>
        <v>290</v>
      </c>
      <c r="E19" s="434"/>
      <c r="F19" s="199" t="s">
        <v>17</v>
      </c>
      <c r="K19" s="196" t="s">
        <v>30</v>
      </c>
      <c r="L19" s="435">
        <f>'入力表'!D31</f>
        <v>22</v>
      </c>
      <c r="M19" s="435"/>
      <c r="N19" s="199" t="s">
        <v>17</v>
      </c>
    </row>
    <row r="20" spans="3:14" s="199" customFormat="1" ht="15" customHeight="1">
      <c r="C20" s="196" t="s">
        <v>31</v>
      </c>
      <c r="D20" s="435">
        <f>'入力表'!D35</f>
        <v>240</v>
      </c>
      <c r="E20" s="435"/>
      <c r="F20" s="199" t="s">
        <v>17</v>
      </c>
      <c r="K20" s="196" t="s">
        <v>32</v>
      </c>
      <c r="L20" s="435">
        <f>'入力表'!D34</f>
        <v>22</v>
      </c>
      <c r="M20" s="435"/>
      <c r="N20" s="199" t="s">
        <v>17</v>
      </c>
    </row>
    <row r="21" spans="3:15" s="199" customFormat="1" ht="15" customHeight="1">
      <c r="C21" s="196" t="s">
        <v>33</v>
      </c>
      <c r="D21" s="435">
        <f>'入力表'!D37</f>
        <v>214</v>
      </c>
      <c r="E21" s="435"/>
      <c r="F21" s="199" t="s">
        <v>17</v>
      </c>
      <c r="H21" s="212"/>
      <c r="K21" s="199" t="s">
        <v>694</v>
      </c>
      <c r="L21" s="435">
        <f>'入力表'!D45</f>
        <v>0</v>
      </c>
      <c r="M21" s="435"/>
      <c r="N21" s="199" t="s">
        <v>17</v>
      </c>
      <c r="O21" s="199" t="s">
        <v>695</v>
      </c>
    </row>
    <row r="22" spans="3:6" s="199" customFormat="1" ht="15" customHeight="1">
      <c r="C22" s="196"/>
      <c r="D22" s="213"/>
      <c r="E22" s="169"/>
      <c r="F22" s="169"/>
    </row>
    <row r="23" spans="2:3" s="199" customFormat="1" ht="15" customHeight="1">
      <c r="B23" s="196"/>
      <c r="C23" s="202"/>
    </row>
    <row r="24" spans="2:19" s="199" customFormat="1" ht="15" customHeight="1">
      <c r="B24" s="154" t="s">
        <v>34</v>
      </c>
      <c r="C24" s="169" t="s">
        <v>35</v>
      </c>
      <c r="D24" s="169"/>
      <c r="E24" s="169" t="s">
        <v>36</v>
      </c>
      <c r="F24" s="169"/>
      <c r="G24" s="169" t="s">
        <v>299</v>
      </c>
      <c r="H24" s="169"/>
      <c r="I24" s="169" t="s">
        <v>193</v>
      </c>
      <c r="J24" s="169"/>
      <c r="K24" s="169" t="s">
        <v>300</v>
      </c>
      <c r="L24" s="169"/>
      <c r="M24" s="169"/>
      <c r="N24" s="169" t="s">
        <v>301</v>
      </c>
      <c r="O24" s="169"/>
      <c r="P24" s="169"/>
      <c r="Q24" s="169" t="s">
        <v>302</v>
      </c>
      <c r="R24" s="169"/>
      <c r="S24" s="169"/>
    </row>
    <row r="25" spans="1:19" s="199" customFormat="1" ht="15" customHeight="1">
      <c r="A25" s="199" t="s">
        <v>37</v>
      </c>
      <c r="B25" s="154">
        <v>1</v>
      </c>
      <c r="C25" s="434">
        <f>D19</f>
        <v>290</v>
      </c>
      <c r="D25" s="434"/>
      <c r="E25" s="434">
        <f>L19</f>
        <v>22</v>
      </c>
      <c r="F25" s="434"/>
      <c r="G25" s="426">
        <f>B25*C25*E25</f>
        <v>6380</v>
      </c>
      <c r="H25" s="426"/>
      <c r="I25" s="443">
        <f>C26+E25/2+L21</f>
        <v>251</v>
      </c>
      <c r="J25" s="443"/>
      <c r="K25" s="426">
        <f>G25*I25</f>
        <v>1601380</v>
      </c>
      <c r="L25" s="426"/>
      <c r="M25" s="426"/>
      <c r="N25" s="426">
        <f>G25*I25^2</f>
        <v>401946380</v>
      </c>
      <c r="O25" s="426"/>
      <c r="P25" s="426"/>
      <c r="Q25" s="426">
        <f>C25*E25^3/12*B25</f>
        <v>257326.66666666666</v>
      </c>
      <c r="R25" s="426"/>
      <c r="S25" s="426"/>
    </row>
    <row r="26" spans="1:19" s="199" customFormat="1" ht="15" customHeight="1">
      <c r="A26" s="214" t="s">
        <v>38</v>
      </c>
      <c r="B26" s="181">
        <v>2</v>
      </c>
      <c r="C26" s="447">
        <f>D20-L21</f>
        <v>240</v>
      </c>
      <c r="D26" s="447"/>
      <c r="E26" s="447">
        <f>L20</f>
        <v>22</v>
      </c>
      <c r="F26" s="447"/>
      <c r="G26" s="441">
        <f>B26*C26*E26</f>
        <v>10560</v>
      </c>
      <c r="H26" s="441"/>
      <c r="I26" s="445">
        <f>C26/2</f>
        <v>120</v>
      </c>
      <c r="J26" s="445"/>
      <c r="K26" s="441">
        <f>G26*I26</f>
        <v>1267200</v>
      </c>
      <c r="L26" s="441"/>
      <c r="M26" s="441"/>
      <c r="N26" s="441">
        <f>G26*I26^2</f>
        <v>152064000</v>
      </c>
      <c r="O26" s="441"/>
      <c r="P26" s="441"/>
      <c r="Q26" s="441">
        <f>E26*C26^3/12*B26</f>
        <v>50688000</v>
      </c>
      <c r="R26" s="441"/>
      <c r="S26" s="441"/>
    </row>
    <row r="27" spans="1:19" s="199" customFormat="1" ht="15" customHeight="1">
      <c r="A27" s="154" t="s">
        <v>39</v>
      </c>
      <c r="E27" s="169"/>
      <c r="F27" s="169"/>
      <c r="G27" s="442">
        <f>ROUND(SUM(G25:G26),1)</f>
        <v>16940</v>
      </c>
      <c r="H27" s="442"/>
      <c r="I27" s="169" t="s">
        <v>40</v>
      </c>
      <c r="J27" s="169"/>
      <c r="K27" s="442">
        <f>ROUND(SUM(K25:K26),0)</f>
        <v>2868580</v>
      </c>
      <c r="L27" s="442"/>
      <c r="M27" s="442"/>
      <c r="N27" s="442">
        <f>ROUND(SUM(N25:N26),0)</f>
        <v>554010380</v>
      </c>
      <c r="O27" s="442"/>
      <c r="P27" s="442"/>
      <c r="Q27" s="442">
        <f>ROUND(SUM(Q25:Q26),0)</f>
        <v>50945327</v>
      </c>
      <c r="R27" s="442"/>
      <c r="S27" s="442"/>
    </row>
    <row r="28" spans="5:19" s="199" customFormat="1" ht="15" customHeight="1">
      <c r="E28" s="169"/>
      <c r="F28" s="169"/>
      <c r="G28" s="215"/>
      <c r="H28" s="169"/>
      <c r="I28" s="169"/>
      <c r="J28" s="169"/>
      <c r="K28" s="170"/>
      <c r="L28" s="169"/>
      <c r="M28" s="169"/>
      <c r="N28" s="170"/>
      <c r="O28" s="169"/>
      <c r="P28" s="169"/>
      <c r="Q28" s="170"/>
      <c r="R28" s="169"/>
      <c r="S28" s="169"/>
    </row>
    <row r="29" s="199" customFormat="1" ht="15" customHeight="1"/>
    <row r="30" spans="2:11" s="199" customFormat="1" ht="15" customHeight="1">
      <c r="B30" s="196" t="s">
        <v>41</v>
      </c>
      <c r="C30" s="426">
        <f>K27</f>
        <v>2868580</v>
      </c>
      <c r="D30" s="426"/>
      <c r="E30" s="426"/>
      <c r="F30" s="154" t="s">
        <v>6</v>
      </c>
      <c r="G30" s="426">
        <f>G27</f>
        <v>16940</v>
      </c>
      <c r="H30" s="426"/>
      <c r="I30" s="154" t="s">
        <v>5</v>
      </c>
      <c r="J30" s="443">
        <f>ROUND(K27/G27,2)</f>
        <v>169.34</v>
      </c>
      <c r="K30" s="443"/>
    </row>
    <row r="31" spans="2:6" s="199" customFormat="1" ht="15" customHeight="1">
      <c r="B31" s="196"/>
      <c r="D31" s="154"/>
      <c r="F31" s="154"/>
    </row>
    <row r="32" spans="2:16" s="199" customFormat="1" ht="15" customHeight="1">
      <c r="B32" s="196" t="s">
        <v>42</v>
      </c>
      <c r="C32" s="426">
        <f>N27</f>
        <v>554010380</v>
      </c>
      <c r="D32" s="426"/>
      <c r="E32" s="426"/>
      <c r="F32" s="154" t="s">
        <v>43</v>
      </c>
      <c r="G32" s="426">
        <f>Q27</f>
        <v>50945327</v>
      </c>
      <c r="H32" s="426"/>
      <c r="I32" s="426"/>
      <c r="J32" s="154" t="s">
        <v>40</v>
      </c>
      <c r="K32" s="426">
        <f>G27</f>
        <v>16940</v>
      </c>
      <c r="L32" s="426"/>
      <c r="M32" s="154" t="s">
        <v>15</v>
      </c>
      <c r="N32" s="443">
        <f>J30</f>
        <v>169.34</v>
      </c>
      <c r="O32" s="443"/>
      <c r="P32" s="206">
        <v>2</v>
      </c>
    </row>
    <row r="33" spans="2:6" s="199" customFormat="1" ht="15" customHeight="1">
      <c r="B33" s="196" t="s">
        <v>5</v>
      </c>
      <c r="C33" s="444">
        <f>C32+G32-K32*N32^2</f>
        <v>119183663.93599993</v>
      </c>
      <c r="D33" s="444"/>
      <c r="E33" s="444"/>
      <c r="F33" s="444"/>
    </row>
    <row r="34" spans="2:6" s="199" customFormat="1" ht="15" customHeight="1">
      <c r="B34" s="196"/>
      <c r="C34" s="216"/>
      <c r="D34" s="154"/>
      <c r="F34" s="154"/>
    </row>
    <row r="35" spans="2:10" s="199" customFormat="1" ht="15" customHeight="1">
      <c r="B35" s="196" t="s">
        <v>44</v>
      </c>
      <c r="C35" s="434">
        <f>D18</f>
        <v>888000</v>
      </c>
      <c r="D35" s="434"/>
      <c r="E35" s="434"/>
      <c r="F35" s="154" t="s">
        <v>15</v>
      </c>
      <c r="G35" s="426">
        <f>D21</f>
        <v>214</v>
      </c>
      <c r="H35" s="426"/>
      <c r="I35" s="154" t="s">
        <v>6</v>
      </c>
      <c r="J35" s="198">
        <v>4</v>
      </c>
    </row>
    <row r="36" spans="2:6" s="199" customFormat="1" ht="15" customHeight="1">
      <c r="B36" s="196" t="s">
        <v>5</v>
      </c>
      <c r="C36" s="426">
        <f>C35*G35/4</f>
        <v>47508000</v>
      </c>
      <c r="D36" s="426"/>
      <c r="E36" s="426"/>
      <c r="F36" s="154"/>
    </row>
    <row r="37" spans="2:6" s="199" customFormat="1" ht="15" customHeight="1">
      <c r="B37" s="196"/>
      <c r="C37" s="216"/>
      <c r="D37" s="154"/>
      <c r="F37" s="154"/>
    </row>
    <row r="38" spans="2:12" s="199" customFormat="1" ht="15" customHeight="1">
      <c r="B38" s="196" t="s">
        <v>45</v>
      </c>
      <c r="C38" s="426">
        <f>C36</f>
        <v>47508000</v>
      </c>
      <c r="D38" s="426"/>
      <c r="E38" s="426"/>
      <c r="F38" s="154" t="s">
        <v>15</v>
      </c>
      <c r="G38" s="426">
        <f>J30</f>
        <v>169.34</v>
      </c>
      <c r="H38" s="426"/>
      <c r="I38" s="154" t="s">
        <v>6</v>
      </c>
      <c r="J38" s="426">
        <f>C33</f>
        <v>119183663.93599993</v>
      </c>
      <c r="K38" s="426"/>
      <c r="L38" s="426"/>
    </row>
    <row r="39" spans="2:17" s="199" customFormat="1" ht="15" customHeight="1">
      <c r="B39" s="196" t="s">
        <v>5</v>
      </c>
      <c r="C39" s="426">
        <f>C38/J38*G38</f>
        <v>67.50090116645568</v>
      </c>
      <c r="D39" s="426"/>
      <c r="J39" s="154" t="s">
        <v>46</v>
      </c>
      <c r="K39" s="426">
        <f>I4</f>
        <v>210</v>
      </c>
      <c r="L39" s="426"/>
      <c r="M39" s="437" t="s">
        <v>298</v>
      </c>
      <c r="N39" s="437"/>
      <c r="P39" s="423" t="str">
        <f>IF(C39&lt;K39,"ＯＫ","ＮＧ")</f>
        <v>ＯＫ</v>
      </c>
      <c r="Q39" s="423"/>
    </row>
    <row r="40" spans="2:8" s="199" customFormat="1" ht="15" customHeight="1">
      <c r="B40" s="196"/>
      <c r="C40" s="216"/>
      <c r="D40" s="154"/>
      <c r="F40" s="154"/>
      <c r="H40" s="217"/>
    </row>
    <row r="41" spans="2:11" s="199" customFormat="1" ht="15" customHeight="1">
      <c r="B41" s="196" t="s">
        <v>461</v>
      </c>
      <c r="C41" s="434">
        <f>D18</f>
        <v>888000</v>
      </c>
      <c r="D41" s="434"/>
      <c r="E41" s="434"/>
      <c r="F41" s="154" t="s">
        <v>47</v>
      </c>
      <c r="G41" s="199">
        <v>2</v>
      </c>
      <c r="H41" s="154" t="s">
        <v>15</v>
      </c>
      <c r="I41" s="426">
        <f>G26</f>
        <v>10560</v>
      </c>
      <c r="J41" s="426"/>
      <c r="K41" s="199" t="s">
        <v>48</v>
      </c>
    </row>
    <row r="42" spans="2:17" s="199" customFormat="1" ht="15" customHeight="1">
      <c r="B42" s="196" t="s">
        <v>5</v>
      </c>
      <c r="C42" s="426">
        <f>C41/G41/I41</f>
        <v>42.04545454545455</v>
      </c>
      <c r="D42" s="426"/>
      <c r="J42" s="154" t="s">
        <v>46</v>
      </c>
      <c r="K42" s="426">
        <f>O4</f>
        <v>120</v>
      </c>
      <c r="L42" s="426"/>
      <c r="M42" s="437" t="s">
        <v>298</v>
      </c>
      <c r="N42" s="437"/>
      <c r="P42" s="423" t="str">
        <f>IF(C42&lt;K42,"ＯＫ","ＮＧ")</f>
        <v>ＯＫ</v>
      </c>
      <c r="Q42" s="423"/>
    </row>
    <row r="43" spans="2:18" s="199" customFormat="1" ht="15" customHeight="1">
      <c r="B43" s="196"/>
      <c r="D43" s="154"/>
      <c r="J43" s="196"/>
      <c r="K43" s="169"/>
      <c r="L43" s="169"/>
      <c r="N43" s="169"/>
      <c r="O43" s="169"/>
      <c r="R43" s="169"/>
    </row>
    <row r="44" spans="2:17" s="199" customFormat="1" ht="15" customHeight="1">
      <c r="B44" s="196" t="s">
        <v>194</v>
      </c>
      <c r="C44" s="428" t="s">
        <v>462</v>
      </c>
      <c r="D44" s="428"/>
      <c r="E44" s="428"/>
      <c r="F44" s="428"/>
      <c r="G44" s="428"/>
      <c r="H44" s="428"/>
      <c r="I44" s="218">
        <f>(C39/K39)^2+(C42/K42)^2</f>
        <v>0.2260843802172594</v>
      </c>
      <c r="J44" s="154" t="s">
        <v>46</v>
      </c>
      <c r="K44" s="154">
        <v>1.2</v>
      </c>
      <c r="P44" s="423" t="str">
        <f>IF(I44&lt;K44,"ＯＫ","ＮＧ")</f>
        <v>ＯＫ</v>
      </c>
      <c r="Q44" s="423"/>
    </row>
    <row r="45" s="199" customFormat="1" ht="15" customHeight="1"/>
  </sheetData>
  <sheetProtection sheet="1" objects="1" scenarios="1"/>
  <mergeCells count="57">
    <mergeCell ref="I41:J41"/>
    <mergeCell ref="L18:M18"/>
    <mergeCell ref="L19:M19"/>
    <mergeCell ref="L20:M20"/>
    <mergeCell ref="K25:M25"/>
    <mergeCell ref="K26:M26"/>
    <mergeCell ref="L21:M21"/>
    <mergeCell ref="C42:D42"/>
    <mergeCell ref="D21:E21"/>
    <mergeCell ref="C41:E41"/>
    <mergeCell ref="C39:D39"/>
    <mergeCell ref="C35:E35"/>
    <mergeCell ref="E26:F26"/>
    <mergeCell ref="C26:D26"/>
    <mergeCell ref="A1:I1"/>
    <mergeCell ref="D4:F4"/>
    <mergeCell ref="I4:J4"/>
    <mergeCell ref="B3:S3"/>
    <mergeCell ref="O4:P4"/>
    <mergeCell ref="D18:E18"/>
    <mergeCell ref="D19:E19"/>
    <mergeCell ref="D20:E20"/>
    <mergeCell ref="E25:F25"/>
    <mergeCell ref="C25:D25"/>
    <mergeCell ref="G38:H38"/>
    <mergeCell ref="C38:E38"/>
    <mergeCell ref="C32:E32"/>
    <mergeCell ref="C36:E36"/>
    <mergeCell ref="G35:H35"/>
    <mergeCell ref="G25:H25"/>
    <mergeCell ref="G26:H26"/>
    <mergeCell ref="G27:H27"/>
    <mergeCell ref="N32:O32"/>
    <mergeCell ref="N27:P27"/>
    <mergeCell ref="I26:J26"/>
    <mergeCell ref="I25:J25"/>
    <mergeCell ref="K27:M27"/>
    <mergeCell ref="P44:Q44"/>
    <mergeCell ref="C30:E30"/>
    <mergeCell ref="K32:L32"/>
    <mergeCell ref="G32:I32"/>
    <mergeCell ref="G30:H30"/>
    <mergeCell ref="J30:K30"/>
    <mergeCell ref="M42:N42"/>
    <mergeCell ref="C33:F33"/>
    <mergeCell ref="J38:L38"/>
    <mergeCell ref="C44:H44"/>
    <mergeCell ref="K42:L42"/>
    <mergeCell ref="P39:Q39"/>
    <mergeCell ref="P42:Q42"/>
    <mergeCell ref="Q25:S25"/>
    <mergeCell ref="Q26:S26"/>
    <mergeCell ref="Q27:S27"/>
    <mergeCell ref="M39:N39"/>
    <mergeCell ref="K39:L39"/>
    <mergeCell ref="N25:P25"/>
    <mergeCell ref="N26:P26"/>
  </mergeCells>
  <printOptions/>
  <pageMargins left="0.984251968503937" right="0.7874015748031497" top="0.7874015748031497" bottom="0.787401574803149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W51"/>
  <sheetViews>
    <sheetView zoomScalePageLayoutView="0" workbookViewId="0" topLeftCell="A1">
      <selection activeCell="S4" sqref="S4"/>
    </sheetView>
  </sheetViews>
  <sheetFormatPr defaultColWidth="8.875" defaultRowHeight="13.5"/>
  <cols>
    <col min="1" max="20" width="4.375" style="221" customWidth="1"/>
    <col min="21" max="16384" width="8.875" style="221" customWidth="1"/>
  </cols>
  <sheetData>
    <row r="1" spans="1:10" ht="15" customHeight="1">
      <c r="A1" s="220" t="s">
        <v>90</v>
      </c>
      <c r="B1" s="199" t="s">
        <v>92</v>
      </c>
      <c r="C1" s="199"/>
      <c r="D1" s="199"/>
      <c r="E1" s="199"/>
      <c r="F1" s="199"/>
      <c r="G1" s="199"/>
      <c r="H1" s="199"/>
      <c r="I1" s="199"/>
      <c r="J1" s="199"/>
    </row>
    <row r="2" spans="2:20" ht="45" customHeight="1">
      <c r="B2" s="430" t="str">
        <f>IF(N14=0,"ＰＣｹｰﾌﾞﾙ定着部のブラケットは、2枚の腹板と１枚のフランジで構成されており、以下のように有効幅を仮定して応力照査を行う。
但し 鋼材の許容応力は割増係数 "&amp;'入力表'!D22&amp;" を考慮する。","ＰＣｹｰﾌﾞﾙ定着部のブラケットは、4枚の腹板と１枚のフランジで構成されており、以下のように有効幅を仮定して応力照査を行う。
但し 鋼材の許容応力は割増係数 "&amp;'入力表'!D22&amp;" を考慮する。")</f>
        <v>ＰＣｹｰﾌﾞﾙ定着部のブラケットは、4枚の腹板と１枚のフランジで構成されており、以下のように有効幅を仮定して応力照査を行う。
但し 鋼材の許容応力は割増係数 1.5 を考慮する。</v>
      </c>
      <c r="C2" s="446"/>
      <c r="D2" s="446"/>
      <c r="E2" s="446"/>
      <c r="F2" s="446"/>
      <c r="G2" s="446"/>
      <c r="H2" s="446"/>
      <c r="I2" s="446"/>
      <c r="J2" s="446"/>
      <c r="K2" s="446"/>
      <c r="L2" s="446"/>
      <c r="M2" s="446"/>
      <c r="N2" s="446"/>
      <c r="O2" s="446"/>
      <c r="P2" s="446"/>
      <c r="Q2" s="446"/>
      <c r="R2" s="446"/>
      <c r="S2" s="446"/>
      <c r="T2" s="198"/>
    </row>
    <row r="3" spans="1:23" ht="15" customHeight="1">
      <c r="A3" s="199" t="s">
        <v>190</v>
      </c>
      <c r="B3" s="199"/>
      <c r="C3" s="196" t="s">
        <v>71</v>
      </c>
      <c r="D3" s="434" t="str">
        <f>'入力表'!D21</f>
        <v>SM400A</v>
      </c>
      <c r="E3" s="434"/>
      <c r="F3" s="434"/>
      <c r="H3" s="196" t="s">
        <v>463</v>
      </c>
      <c r="I3" s="426">
        <f>'入力表'!D23</f>
        <v>210</v>
      </c>
      <c r="J3" s="426"/>
      <c r="K3" s="198" t="s">
        <v>298</v>
      </c>
      <c r="L3" s="198"/>
      <c r="N3" s="196" t="s">
        <v>460</v>
      </c>
      <c r="O3" s="426">
        <f>'入力表'!D24</f>
        <v>120</v>
      </c>
      <c r="P3" s="426"/>
      <c r="Q3" s="198" t="s">
        <v>298</v>
      </c>
      <c r="R3" s="198"/>
      <c r="T3" s="199"/>
      <c r="U3" s="199"/>
      <c r="V3" s="199"/>
      <c r="W3" s="199"/>
    </row>
    <row r="4" spans="1:23" ht="15" customHeight="1">
      <c r="A4" s="199"/>
      <c r="B4" s="199"/>
      <c r="C4" s="199"/>
      <c r="D4" s="199"/>
      <c r="E4" s="199"/>
      <c r="F4" s="199"/>
      <c r="G4" s="199"/>
      <c r="H4" s="199"/>
      <c r="I4" s="199"/>
      <c r="J4" s="199"/>
      <c r="S4" s="199"/>
      <c r="T4" s="199"/>
      <c r="U4" s="199"/>
      <c r="V4" s="199"/>
      <c r="W4" s="199"/>
    </row>
    <row r="5" spans="1:23" ht="15" customHeight="1">
      <c r="A5" s="199"/>
      <c r="B5" s="199"/>
      <c r="C5" s="199"/>
      <c r="D5" s="199"/>
      <c r="E5" s="199"/>
      <c r="F5" s="199"/>
      <c r="G5" s="199"/>
      <c r="H5" s="199"/>
      <c r="I5" s="199"/>
      <c r="J5" s="199"/>
      <c r="S5" s="199"/>
      <c r="T5" s="199"/>
      <c r="U5" s="199"/>
      <c r="V5" s="199"/>
      <c r="W5" s="199"/>
    </row>
    <row r="6" spans="1:23" ht="15" customHeight="1">
      <c r="A6" s="199"/>
      <c r="B6" s="199"/>
      <c r="C6" s="199"/>
      <c r="D6" s="199"/>
      <c r="E6" s="199"/>
      <c r="F6" s="199"/>
      <c r="G6" s="199"/>
      <c r="H6" s="199"/>
      <c r="I6" s="199"/>
      <c r="J6" s="199"/>
      <c r="S6" s="199"/>
      <c r="T6" s="199"/>
      <c r="U6" s="199"/>
      <c r="V6" s="199"/>
      <c r="W6" s="199"/>
    </row>
    <row r="7" spans="1:23" ht="15" customHeight="1">
      <c r="A7" s="199"/>
      <c r="B7" s="199"/>
      <c r="C7" s="199"/>
      <c r="D7" s="199"/>
      <c r="E7" s="199"/>
      <c r="F7" s="199"/>
      <c r="G7" s="199"/>
      <c r="H7" s="199"/>
      <c r="I7" s="199"/>
      <c r="J7" s="199"/>
      <c r="K7" s="199"/>
      <c r="L7" s="199"/>
      <c r="S7" s="199"/>
      <c r="T7" s="199"/>
      <c r="U7" s="199"/>
      <c r="V7" s="199"/>
      <c r="W7" s="199"/>
    </row>
    <row r="8" spans="1:23" ht="15" customHeight="1">
      <c r="A8" s="199"/>
      <c r="B8" s="199"/>
      <c r="C8" s="199"/>
      <c r="D8" s="199"/>
      <c r="E8" s="199"/>
      <c r="F8" s="199"/>
      <c r="G8" s="199"/>
      <c r="H8" s="199"/>
      <c r="I8" s="199"/>
      <c r="J8" s="199"/>
      <c r="K8" s="199"/>
      <c r="L8" s="199"/>
      <c r="S8" s="199"/>
      <c r="T8" s="199"/>
      <c r="U8" s="199"/>
      <c r="V8" s="199"/>
      <c r="W8" s="199"/>
    </row>
    <row r="9" spans="1:23" ht="15" customHeight="1">
      <c r="A9" s="199"/>
      <c r="B9" s="199"/>
      <c r="C9" s="199"/>
      <c r="D9" s="199"/>
      <c r="E9" s="199"/>
      <c r="F9" s="199"/>
      <c r="G9" s="199"/>
      <c r="H9" s="199"/>
      <c r="I9" s="199"/>
      <c r="J9" s="199"/>
      <c r="K9" s="199"/>
      <c r="L9" s="199"/>
      <c r="M9" s="196" t="s">
        <v>27</v>
      </c>
      <c r="N9" s="435">
        <f>P*1000</f>
        <v>888000</v>
      </c>
      <c r="O9" s="434"/>
      <c r="P9" s="199" t="s">
        <v>192</v>
      </c>
      <c r="S9" s="199"/>
      <c r="T9" s="199"/>
      <c r="U9" s="199"/>
      <c r="V9" s="199"/>
      <c r="W9" s="199"/>
    </row>
    <row r="10" spans="1:23" ht="15" customHeight="1">
      <c r="A10" s="199"/>
      <c r="B10" s="199"/>
      <c r="C10" s="199"/>
      <c r="D10" s="199"/>
      <c r="E10" s="199"/>
      <c r="F10" s="199"/>
      <c r="G10" s="199"/>
      <c r="H10" s="199"/>
      <c r="I10" s="199"/>
      <c r="J10" s="199"/>
      <c r="K10" s="199"/>
      <c r="L10" s="199"/>
      <c r="M10" s="196" t="s">
        <v>28</v>
      </c>
      <c r="N10" s="435">
        <f>H</f>
        <v>350</v>
      </c>
      <c r="O10" s="434"/>
      <c r="P10" s="199" t="s">
        <v>17</v>
      </c>
      <c r="S10" s="199"/>
      <c r="T10" s="199"/>
      <c r="U10" s="199"/>
      <c r="V10" s="199"/>
      <c r="W10" s="199"/>
    </row>
    <row r="11" spans="1:23" ht="15" customHeight="1">
      <c r="A11" s="199"/>
      <c r="B11" s="199"/>
      <c r="C11" s="199"/>
      <c r="D11" s="199"/>
      <c r="E11" s="199"/>
      <c r="F11" s="199"/>
      <c r="G11" s="199"/>
      <c r="H11" s="199"/>
      <c r="I11" s="199"/>
      <c r="J11" s="199"/>
      <c r="K11" s="199"/>
      <c r="L11" s="199"/>
      <c r="M11" s="196" t="s">
        <v>29</v>
      </c>
      <c r="N11" s="435">
        <f>'入力表'!D32</f>
        <v>480</v>
      </c>
      <c r="O11" s="435"/>
      <c r="P11" s="199" t="s">
        <v>17</v>
      </c>
      <c r="S11" s="199"/>
      <c r="T11" s="199"/>
      <c r="U11" s="199"/>
      <c r="V11" s="199"/>
      <c r="W11" s="199"/>
    </row>
    <row r="12" spans="1:23" ht="15" customHeight="1">
      <c r="A12" s="199"/>
      <c r="B12" s="199"/>
      <c r="C12" s="199"/>
      <c r="D12" s="199"/>
      <c r="E12" s="199"/>
      <c r="F12" s="199"/>
      <c r="G12" s="199"/>
      <c r="H12" s="199"/>
      <c r="I12" s="199"/>
      <c r="J12" s="199"/>
      <c r="K12" s="199"/>
      <c r="L12" s="199"/>
      <c r="M12" s="196" t="s">
        <v>30</v>
      </c>
      <c r="N12" s="171">
        <f>'入力表'!D31</f>
        <v>22</v>
      </c>
      <c r="O12" s="169"/>
      <c r="P12" s="199" t="s">
        <v>17</v>
      </c>
      <c r="S12" s="199"/>
      <c r="T12" s="199"/>
      <c r="U12" s="199"/>
      <c r="V12" s="199"/>
      <c r="W12" s="199"/>
    </row>
    <row r="13" spans="1:23" ht="15" customHeight="1">
      <c r="A13" s="199"/>
      <c r="B13" s="199"/>
      <c r="C13" s="199"/>
      <c r="D13" s="199"/>
      <c r="E13" s="199"/>
      <c r="F13" s="199"/>
      <c r="G13" s="199"/>
      <c r="H13" s="199"/>
      <c r="I13" s="199"/>
      <c r="J13" s="199"/>
      <c r="K13" s="199"/>
      <c r="L13" s="199"/>
      <c r="M13" s="196" t="s">
        <v>195</v>
      </c>
      <c r="N13" s="435">
        <f>'入力表'!D39</f>
        <v>264</v>
      </c>
      <c r="O13" s="435"/>
      <c r="P13" s="199" t="s">
        <v>17</v>
      </c>
      <c r="S13" s="199"/>
      <c r="T13" s="199"/>
      <c r="U13" s="199"/>
      <c r="V13" s="199"/>
      <c r="W13" s="199"/>
    </row>
    <row r="14" spans="1:23" ht="15" customHeight="1">
      <c r="A14" s="199"/>
      <c r="B14" s="199"/>
      <c r="C14" s="199"/>
      <c r="D14" s="199"/>
      <c r="E14" s="199"/>
      <c r="F14" s="199"/>
      <c r="G14" s="199"/>
      <c r="H14" s="199"/>
      <c r="I14" s="199"/>
      <c r="J14" s="199"/>
      <c r="K14" s="199"/>
      <c r="L14" s="199"/>
      <c r="M14" s="196" t="s">
        <v>196</v>
      </c>
      <c r="N14" s="435">
        <f>'入力表'!D40</f>
        <v>264</v>
      </c>
      <c r="O14" s="435"/>
      <c r="P14" s="199" t="s">
        <v>17</v>
      </c>
      <c r="S14" s="199"/>
      <c r="T14" s="199"/>
      <c r="U14" s="199"/>
      <c r="V14" s="199"/>
      <c r="W14" s="199"/>
    </row>
    <row r="15" spans="1:23" ht="15" customHeight="1">
      <c r="A15" s="199"/>
      <c r="B15" s="199"/>
      <c r="C15" s="199"/>
      <c r="D15" s="199"/>
      <c r="E15" s="199"/>
      <c r="F15" s="199"/>
      <c r="G15" s="199"/>
      <c r="H15" s="199"/>
      <c r="I15" s="199"/>
      <c r="J15" s="199"/>
      <c r="K15" s="199"/>
      <c r="M15" s="196" t="s">
        <v>49</v>
      </c>
      <c r="N15" s="435">
        <f>'入力表'!D38</f>
        <v>22</v>
      </c>
      <c r="O15" s="435"/>
      <c r="P15" s="199" t="s">
        <v>17</v>
      </c>
      <c r="S15" s="199"/>
      <c r="T15" s="199"/>
      <c r="U15" s="199"/>
      <c r="V15" s="199"/>
      <c r="W15" s="199"/>
    </row>
    <row r="16" spans="1:23" ht="15" customHeight="1">
      <c r="A16" s="199"/>
      <c r="B16" s="199"/>
      <c r="C16" s="199"/>
      <c r="D16" s="199"/>
      <c r="E16" s="199"/>
      <c r="F16" s="199"/>
      <c r="G16" s="199"/>
      <c r="H16" s="199"/>
      <c r="I16" s="199"/>
      <c r="J16" s="199"/>
      <c r="K16" s="199"/>
      <c r="L16" s="199"/>
      <c r="M16" s="196" t="s">
        <v>696</v>
      </c>
      <c r="N16" s="435">
        <f>'入力表'!D45</f>
        <v>0</v>
      </c>
      <c r="O16" s="435"/>
      <c r="P16" s="199" t="s">
        <v>17</v>
      </c>
      <c r="Q16" s="199" t="s">
        <v>697</v>
      </c>
      <c r="S16" s="199"/>
      <c r="T16" s="199"/>
      <c r="U16" s="199"/>
      <c r="V16" s="199"/>
      <c r="W16" s="199"/>
    </row>
    <row r="17" spans="1:23" ht="15" customHeight="1">
      <c r="A17" s="199"/>
      <c r="B17" s="199"/>
      <c r="C17" s="199"/>
      <c r="D17" s="199"/>
      <c r="E17" s="199"/>
      <c r="F17" s="199"/>
      <c r="G17" s="199"/>
      <c r="H17" s="199"/>
      <c r="I17" s="199"/>
      <c r="J17" s="199"/>
      <c r="L17" s="199"/>
      <c r="M17" s="199"/>
      <c r="N17" s="199"/>
      <c r="O17" s="199"/>
      <c r="P17" s="199"/>
      <c r="Q17" s="199"/>
      <c r="S17" s="199"/>
      <c r="T17" s="199"/>
      <c r="U17" s="199"/>
      <c r="V17" s="199"/>
      <c r="W17" s="199"/>
    </row>
    <row r="18" spans="1:23" ht="15" customHeight="1">
      <c r="A18" s="199"/>
      <c r="B18" s="199"/>
      <c r="C18" s="199"/>
      <c r="D18" s="199"/>
      <c r="E18" s="199"/>
      <c r="F18" s="199"/>
      <c r="G18" s="199"/>
      <c r="H18" s="199"/>
      <c r="I18" s="199"/>
      <c r="J18" s="199"/>
      <c r="M18" s="196" t="s">
        <v>44</v>
      </c>
      <c r="N18" s="199" t="s">
        <v>50</v>
      </c>
      <c r="O18" s="199"/>
      <c r="P18" s="199"/>
      <c r="S18" s="199"/>
      <c r="T18" s="199"/>
      <c r="U18" s="199"/>
      <c r="V18" s="199"/>
      <c r="W18" s="199"/>
    </row>
    <row r="19" spans="1:23" ht="15" customHeight="1">
      <c r="A19" s="199"/>
      <c r="B19" s="199"/>
      <c r="C19" s="199"/>
      <c r="D19" s="199"/>
      <c r="E19" s="199"/>
      <c r="F19" s="199"/>
      <c r="G19" s="199"/>
      <c r="H19" s="199"/>
      <c r="I19" s="199"/>
      <c r="J19" s="199"/>
      <c r="M19" s="196" t="s">
        <v>5</v>
      </c>
      <c r="N19" s="434">
        <f>N9*N10</f>
        <v>310800000</v>
      </c>
      <c r="O19" s="434"/>
      <c r="P19" s="199" t="s">
        <v>197</v>
      </c>
      <c r="S19" s="199"/>
      <c r="T19" s="199"/>
      <c r="U19" s="199"/>
      <c r="V19" s="199"/>
      <c r="W19" s="199"/>
    </row>
    <row r="20" spans="1:23" ht="15" customHeight="1">
      <c r="A20" s="199"/>
      <c r="B20" s="199"/>
      <c r="C20" s="199"/>
      <c r="D20" s="199"/>
      <c r="E20" s="199"/>
      <c r="F20" s="199"/>
      <c r="G20" s="199"/>
      <c r="H20" s="199"/>
      <c r="I20" s="199"/>
      <c r="J20" s="199"/>
      <c r="M20" s="196" t="s">
        <v>51</v>
      </c>
      <c r="N20" s="434">
        <f>N9</f>
        <v>888000</v>
      </c>
      <c r="O20" s="434"/>
      <c r="P20" s="199" t="s">
        <v>192</v>
      </c>
      <c r="S20" s="199"/>
      <c r="T20" s="199"/>
      <c r="U20" s="199"/>
      <c r="V20" s="199"/>
      <c r="W20" s="199"/>
    </row>
    <row r="21" spans="1:23" ht="15" customHeight="1">
      <c r="A21" s="199"/>
      <c r="B21" s="199"/>
      <c r="C21" s="199"/>
      <c r="D21" s="199"/>
      <c r="E21" s="199"/>
      <c r="F21" s="199"/>
      <c r="G21" s="199"/>
      <c r="H21" s="199"/>
      <c r="I21" s="199"/>
      <c r="J21" s="199"/>
      <c r="S21" s="199"/>
      <c r="T21" s="199"/>
      <c r="U21" s="199"/>
      <c r="V21" s="199"/>
      <c r="W21" s="199"/>
    </row>
    <row r="22" spans="1:23" ht="15" customHeight="1">
      <c r="A22" s="199"/>
      <c r="B22" s="199"/>
      <c r="C22" s="199"/>
      <c r="D22" s="199"/>
      <c r="E22" s="199"/>
      <c r="F22" s="199"/>
      <c r="G22" s="199"/>
      <c r="H22" s="199"/>
      <c r="I22" s="199"/>
      <c r="J22" s="199"/>
      <c r="L22" s="199"/>
      <c r="M22" s="199"/>
      <c r="N22" s="199"/>
      <c r="O22" s="199"/>
      <c r="P22" s="199"/>
      <c r="Q22" s="199"/>
      <c r="S22" s="199"/>
      <c r="T22" s="199"/>
      <c r="U22" s="199"/>
      <c r="V22" s="199"/>
      <c r="W22" s="199"/>
    </row>
    <row r="23" spans="1:23" ht="15" customHeight="1">
      <c r="A23" s="199"/>
      <c r="B23" s="199"/>
      <c r="C23" s="199"/>
      <c r="D23" s="199"/>
      <c r="E23" s="199"/>
      <c r="F23" s="199"/>
      <c r="G23" s="199"/>
      <c r="H23" s="199"/>
      <c r="I23" s="199"/>
      <c r="J23" s="199"/>
      <c r="S23" s="199"/>
      <c r="T23" s="199"/>
      <c r="U23" s="199"/>
      <c r="V23" s="199"/>
      <c r="W23" s="199"/>
    </row>
    <row r="24" spans="1:23" ht="15" customHeight="1">
      <c r="A24" s="199"/>
      <c r="B24" s="199"/>
      <c r="C24" s="199"/>
      <c r="D24" s="199"/>
      <c r="E24" s="199"/>
      <c r="F24" s="199"/>
      <c r="G24" s="199"/>
      <c r="H24" s="199"/>
      <c r="I24" s="199"/>
      <c r="J24" s="199"/>
      <c r="S24" s="199"/>
      <c r="T24" s="199"/>
      <c r="U24" s="199"/>
      <c r="V24" s="199"/>
      <c r="W24" s="199"/>
    </row>
    <row r="25" spans="1:19" ht="15" customHeight="1">
      <c r="A25" s="199"/>
      <c r="B25" s="154" t="s">
        <v>34</v>
      </c>
      <c r="C25" s="169" t="s">
        <v>35</v>
      </c>
      <c r="D25" s="169"/>
      <c r="E25" s="169" t="s">
        <v>36</v>
      </c>
      <c r="F25" s="169"/>
      <c r="G25" s="169" t="s">
        <v>299</v>
      </c>
      <c r="H25" s="169"/>
      <c r="I25" s="169" t="s">
        <v>193</v>
      </c>
      <c r="J25" s="222"/>
      <c r="K25" s="169" t="s">
        <v>300</v>
      </c>
      <c r="L25" s="222"/>
      <c r="M25" s="169"/>
      <c r="N25" s="169" t="s">
        <v>303</v>
      </c>
      <c r="O25" s="169"/>
      <c r="P25" s="169"/>
      <c r="Q25" s="169" t="s">
        <v>302</v>
      </c>
      <c r="R25" s="222"/>
      <c r="S25" s="222"/>
    </row>
    <row r="26" spans="1:19" ht="15" customHeight="1">
      <c r="A26" s="223" t="s">
        <v>198</v>
      </c>
      <c r="B26" s="154">
        <v>1</v>
      </c>
      <c r="C26" s="434">
        <f>N11</f>
        <v>480</v>
      </c>
      <c r="D26" s="434"/>
      <c r="E26" s="434">
        <f>N12</f>
        <v>22</v>
      </c>
      <c r="F26" s="434"/>
      <c r="G26" s="426">
        <f>B26*C26*E26</f>
        <v>10560</v>
      </c>
      <c r="H26" s="426"/>
      <c r="I26" s="443">
        <f>C28+E26/2+N16</f>
        <v>275</v>
      </c>
      <c r="J26" s="443"/>
      <c r="K26" s="451">
        <f>G26*I26</f>
        <v>2904000</v>
      </c>
      <c r="L26" s="451"/>
      <c r="M26" s="451"/>
      <c r="N26" s="426">
        <f>K26*I26</f>
        <v>798600000</v>
      </c>
      <c r="O26" s="426"/>
      <c r="P26" s="426"/>
      <c r="Q26" s="426">
        <f>C26*E26^3/12*B26</f>
        <v>425920</v>
      </c>
      <c r="R26" s="426"/>
      <c r="S26" s="426"/>
    </row>
    <row r="27" spans="1:19" ht="15" customHeight="1">
      <c r="A27" s="223" t="s">
        <v>199</v>
      </c>
      <c r="B27" s="224">
        <v>2</v>
      </c>
      <c r="C27" s="449">
        <f>N13-N16</f>
        <v>264</v>
      </c>
      <c r="D27" s="449"/>
      <c r="E27" s="449">
        <f>N15</f>
        <v>22</v>
      </c>
      <c r="F27" s="449"/>
      <c r="G27" s="448">
        <f>B27*C27*E27</f>
        <v>11616</v>
      </c>
      <c r="H27" s="448"/>
      <c r="I27" s="453">
        <f>C27/2+E26+C28+N16*2</f>
        <v>418</v>
      </c>
      <c r="J27" s="453"/>
      <c r="K27" s="454">
        <f>G27*I27</f>
        <v>4855488</v>
      </c>
      <c r="L27" s="454"/>
      <c r="M27" s="454"/>
      <c r="N27" s="448">
        <f>K27*I27</f>
        <v>2029593984</v>
      </c>
      <c r="O27" s="448"/>
      <c r="P27" s="448"/>
      <c r="Q27" s="448">
        <f>E27*C27^3/12*B27</f>
        <v>67465728</v>
      </c>
      <c r="R27" s="448"/>
      <c r="S27" s="448"/>
    </row>
    <row r="28" spans="1:19" ht="15" customHeight="1">
      <c r="A28" s="225" t="s">
        <v>200</v>
      </c>
      <c r="B28" s="181">
        <f>'入力表'!E40</f>
        <v>2</v>
      </c>
      <c r="C28" s="447">
        <f>N14-N16</f>
        <v>264</v>
      </c>
      <c r="D28" s="447"/>
      <c r="E28" s="447">
        <f>N15</f>
        <v>22</v>
      </c>
      <c r="F28" s="447"/>
      <c r="G28" s="441">
        <f>B28*C28*E28</f>
        <v>11616</v>
      </c>
      <c r="H28" s="441"/>
      <c r="I28" s="445">
        <f>C28/2</f>
        <v>132</v>
      </c>
      <c r="J28" s="445"/>
      <c r="K28" s="456">
        <f>G28*I28</f>
        <v>1533312</v>
      </c>
      <c r="L28" s="456"/>
      <c r="M28" s="456"/>
      <c r="N28" s="441">
        <f>G28*I28^2</f>
        <v>202397184</v>
      </c>
      <c r="O28" s="441"/>
      <c r="P28" s="441"/>
      <c r="Q28" s="441">
        <f>E28*C28^3/12*B28</f>
        <v>67465728</v>
      </c>
      <c r="R28" s="441"/>
      <c r="S28" s="441"/>
    </row>
    <row r="29" spans="1:19" ht="15" customHeight="1">
      <c r="A29" s="199"/>
      <c r="B29" s="199"/>
      <c r="C29" s="199"/>
      <c r="D29" s="199"/>
      <c r="E29" s="199"/>
      <c r="F29" s="199"/>
      <c r="G29" s="442">
        <f>ROUND(SUM(G26:G28),1)</f>
        <v>33792</v>
      </c>
      <c r="H29" s="442"/>
      <c r="I29" s="169" t="s">
        <v>40</v>
      </c>
      <c r="J29" s="169"/>
      <c r="K29" s="457">
        <f>SUM(K26:M28)</f>
        <v>9292800</v>
      </c>
      <c r="L29" s="457"/>
      <c r="M29" s="457"/>
      <c r="N29" s="442">
        <f>ROUND(SUM(N26:N28),0)</f>
        <v>3030591168</v>
      </c>
      <c r="O29" s="442"/>
      <c r="P29" s="442"/>
      <c r="Q29" s="442">
        <f>ROUND(SUM(Q26:Q28),0)</f>
        <v>135357376</v>
      </c>
      <c r="R29" s="442"/>
      <c r="S29" s="442"/>
    </row>
    <row r="30" spans="1:17" ht="15" customHeight="1">
      <c r="A30" s="199"/>
      <c r="B30" s="199"/>
      <c r="C30" s="199"/>
      <c r="D30" s="199"/>
      <c r="E30" s="199"/>
      <c r="F30" s="199"/>
      <c r="G30" s="199"/>
      <c r="H30" s="199"/>
      <c r="I30" s="199"/>
      <c r="J30" s="199"/>
      <c r="K30" s="199"/>
      <c r="N30" s="169"/>
      <c r="O30" s="222"/>
      <c r="Q30" s="199"/>
    </row>
    <row r="31" spans="1:18" ht="15" customHeight="1">
      <c r="A31" s="199"/>
      <c r="B31" s="196" t="s">
        <v>201</v>
      </c>
      <c r="C31" s="451">
        <f>K29</f>
        <v>9292800</v>
      </c>
      <c r="D31" s="451"/>
      <c r="E31" s="451"/>
      <c r="F31" s="154" t="s">
        <v>6</v>
      </c>
      <c r="G31" s="426">
        <f>G29</f>
        <v>33792</v>
      </c>
      <c r="H31" s="426"/>
      <c r="I31" s="154" t="s">
        <v>202</v>
      </c>
      <c r="J31" s="455">
        <f>ROUND(C31/G31,1)</f>
        <v>275</v>
      </c>
      <c r="K31" s="455"/>
      <c r="L31" s="199"/>
      <c r="O31" s="169"/>
      <c r="P31" s="222"/>
      <c r="R31" s="199"/>
    </row>
    <row r="32" spans="1:17" ht="15" customHeight="1">
      <c r="A32" s="199"/>
      <c r="B32" s="199"/>
      <c r="C32" s="199"/>
      <c r="D32" s="199"/>
      <c r="E32" s="199"/>
      <c r="F32" s="199"/>
      <c r="G32" s="199"/>
      <c r="H32" s="199"/>
      <c r="I32" s="199"/>
      <c r="J32" s="199"/>
      <c r="K32" s="199"/>
      <c r="N32" s="169"/>
      <c r="O32" s="222"/>
      <c r="Q32" s="199"/>
    </row>
    <row r="33" spans="1:16" ht="15" customHeight="1">
      <c r="A33" s="199"/>
      <c r="B33" s="196" t="s">
        <v>42</v>
      </c>
      <c r="C33" s="426">
        <f>N29</f>
        <v>3030591168</v>
      </c>
      <c r="D33" s="426"/>
      <c r="E33" s="426"/>
      <c r="F33" s="154" t="s">
        <v>43</v>
      </c>
      <c r="G33" s="426">
        <f>Q29</f>
        <v>135357376</v>
      </c>
      <c r="H33" s="426"/>
      <c r="I33" s="426"/>
      <c r="J33" s="154" t="s">
        <v>203</v>
      </c>
      <c r="K33" s="426">
        <f>G29</f>
        <v>33792</v>
      </c>
      <c r="L33" s="426"/>
      <c r="M33" s="199" t="s">
        <v>204</v>
      </c>
      <c r="N33" s="452">
        <f>J31</f>
        <v>275</v>
      </c>
      <c r="O33" s="452"/>
      <c r="P33" s="226">
        <v>2</v>
      </c>
    </row>
    <row r="34" spans="1:11" ht="15" customHeight="1">
      <c r="A34" s="199"/>
      <c r="B34" s="196" t="s">
        <v>5</v>
      </c>
      <c r="C34" s="426">
        <f>C33+G33-K33*N33^2</f>
        <v>610428544</v>
      </c>
      <c r="D34" s="426"/>
      <c r="E34" s="426"/>
      <c r="F34" s="154"/>
      <c r="G34" s="199"/>
      <c r="H34" s="199"/>
      <c r="I34" s="199"/>
      <c r="J34" s="199"/>
      <c r="K34" s="199"/>
    </row>
    <row r="35" spans="1:11" ht="15" customHeight="1">
      <c r="A35" s="199"/>
      <c r="B35" s="196"/>
      <c r="C35" s="199"/>
      <c r="D35" s="199"/>
      <c r="E35" s="199"/>
      <c r="F35" s="154"/>
      <c r="G35" s="199"/>
      <c r="H35" s="199"/>
      <c r="I35" s="199"/>
      <c r="J35" s="199"/>
      <c r="K35" s="199"/>
    </row>
    <row r="36" spans="1:12" ht="15" customHeight="1">
      <c r="A36" s="199"/>
      <c r="B36" s="196" t="s">
        <v>44</v>
      </c>
      <c r="C36" s="434">
        <f>N9</f>
        <v>888000</v>
      </c>
      <c r="D36" s="434"/>
      <c r="E36" s="434"/>
      <c r="F36" s="154" t="s">
        <v>15</v>
      </c>
      <c r="G36" s="426">
        <f>N10</f>
        <v>350</v>
      </c>
      <c r="H36" s="426"/>
      <c r="I36" s="199"/>
      <c r="J36" s="199"/>
      <c r="K36" s="199"/>
      <c r="L36" s="199"/>
    </row>
    <row r="37" spans="1:11" ht="15" customHeight="1">
      <c r="A37" s="199"/>
      <c r="B37" s="196" t="s">
        <v>5</v>
      </c>
      <c r="C37" s="426">
        <f>C36*G36</f>
        <v>310800000</v>
      </c>
      <c r="D37" s="426"/>
      <c r="E37" s="426"/>
      <c r="F37" s="154"/>
      <c r="G37" s="199"/>
      <c r="H37" s="199"/>
      <c r="I37" s="199"/>
      <c r="J37" s="199"/>
      <c r="K37" s="199"/>
    </row>
    <row r="38" spans="1:11" ht="15" customHeight="1">
      <c r="A38" s="199"/>
      <c r="B38" s="196"/>
      <c r="C38" s="216"/>
      <c r="D38" s="154"/>
      <c r="E38" s="199"/>
      <c r="F38" s="154"/>
      <c r="G38" s="199"/>
      <c r="H38" s="199"/>
      <c r="I38" s="199"/>
      <c r="J38" s="199"/>
      <c r="K38" s="199"/>
    </row>
    <row r="39" spans="1:12" ht="15" customHeight="1">
      <c r="A39" s="199"/>
      <c r="B39" s="196" t="s">
        <v>191</v>
      </c>
      <c r="C39" s="426">
        <f>C37</f>
        <v>310800000</v>
      </c>
      <c r="D39" s="426"/>
      <c r="E39" s="426"/>
      <c r="F39" s="154" t="s">
        <v>6</v>
      </c>
      <c r="G39" s="426">
        <f>C34</f>
        <v>610428544</v>
      </c>
      <c r="H39" s="426"/>
      <c r="I39" s="426"/>
      <c r="J39" s="154" t="s">
        <v>15</v>
      </c>
      <c r="K39" s="443">
        <f>J31</f>
        <v>275</v>
      </c>
      <c r="L39" s="443"/>
    </row>
    <row r="40" spans="1:18" ht="15" customHeight="1">
      <c r="A40" s="199"/>
      <c r="B40" s="196" t="s">
        <v>5</v>
      </c>
      <c r="C40" s="426">
        <f>C39/G39*K39</f>
        <v>140.01638822446677</v>
      </c>
      <c r="D40" s="426"/>
      <c r="E40" s="199"/>
      <c r="F40" s="199"/>
      <c r="G40" s="199"/>
      <c r="H40" s="199"/>
      <c r="I40" s="154" t="s">
        <v>46</v>
      </c>
      <c r="J40" s="426">
        <f>I3</f>
        <v>210</v>
      </c>
      <c r="K40" s="426"/>
      <c r="L40" s="437" t="s">
        <v>298</v>
      </c>
      <c r="M40" s="437"/>
      <c r="N40" s="199"/>
      <c r="O40" s="423" t="str">
        <f>IF(C40&lt;J40,"ＯＫ","ＮＧ")</f>
        <v>ＯＫ</v>
      </c>
      <c r="P40" s="423"/>
      <c r="Q40" s="199"/>
      <c r="R40" s="199"/>
    </row>
    <row r="41" spans="1:18" ht="15" customHeight="1">
      <c r="A41" s="199"/>
      <c r="B41" s="196"/>
      <c r="C41" s="173"/>
      <c r="D41" s="173"/>
      <c r="E41" s="199"/>
      <c r="F41" s="199"/>
      <c r="G41" s="199"/>
      <c r="H41" s="199"/>
      <c r="I41" s="154"/>
      <c r="J41" s="173"/>
      <c r="K41" s="173"/>
      <c r="L41" s="198"/>
      <c r="M41" s="198"/>
      <c r="N41" s="199"/>
      <c r="O41" s="203"/>
      <c r="P41" s="203"/>
      <c r="Q41" s="199"/>
      <c r="R41" s="199"/>
    </row>
    <row r="42" spans="1:18" ht="15" customHeight="1">
      <c r="A42" s="199"/>
      <c r="B42" s="196" t="s">
        <v>205</v>
      </c>
      <c r="C42" s="426">
        <f>C37</f>
        <v>310800000</v>
      </c>
      <c r="D42" s="426"/>
      <c r="E42" s="426"/>
      <c r="F42" s="154" t="s">
        <v>6</v>
      </c>
      <c r="G42" s="426">
        <f>C34</f>
        <v>610428544</v>
      </c>
      <c r="H42" s="426"/>
      <c r="I42" s="426"/>
      <c r="J42" s="154" t="s">
        <v>15</v>
      </c>
      <c r="K42" s="443">
        <f>C27+C28+E26-J31+N16*2</f>
        <v>275</v>
      </c>
      <c r="L42" s="443"/>
      <c r="Q42" s="199"/>
      <c r="R42" s="199"/>
    </row>
    <row r="43" spans="1:18" ht="15" customHeight="1">
      <c r="A43" s="199"/>
      <c r="B43" s="196" t="s">
        <v>5</v>
      </c>
      <c r="C43" s="426">
        <f>C42/G42*K42</f>
        <v>140.01638822446677</v>
      </c>
      <c r="D43" s="426"/>
      <c r="E43" s="199"/>
      <c r="F43" s="199"/>
      <c r="G43" s="199"/>
      <c r="H43" s="199"/>
      <c r="I43" s="154" t="s">
        <v>46</v>
      </c>
      <c r="J43" s="426">
        <f>I3</f>
        <v>210</v>
      </c>
      <c r="K43" s="426"/>
      <c r="L43" s="437" t="s">
        <v>298</v>
      </c>
      <c r="M43" s="437"/>
      <c r="N43" s="199"/>
      <c r="O43" s="423" t="str">
        <f>IF(C43&lt;J43,"ＯＫ","ＮＧ")</f>
        <v>ＯＫ</v>
      </c>
      <c r="P43" s="423"/>
      <c r="Q43" s="199"/>
      <c r="R43" s="199"/>
    </row>
    <row r="44" spans="1:18" ht="15" customHeight="1">
      <c r="A44" s="199"/>
      <c r="B44" s="196"/>
      <c r="C44" s="173"/>
      <c r="D44" s="173"/>
      <c r="E44" s="199"/>
      <c r="F44" s="199"/>
      <c r="G44" s="199"/>
      <c r="H44" s="199"/>
      <c r="I44" s="154"/>
      <c r="J44" s="173"/>
      <c r="K44" s="173"/>
      <c r="L44" s="198"/>
      <c r="M44" s="198"/>
      <c r="N44" s="199"/>
      <c r="O44" s="203"/>
      <c r="P44" s="203"/>
      <c r="Q44" s="199"/>
      <c r="R44" s="199"/>
    </row>
    <row r="45" spans="1:18" ht="15" customHeight="1">
      <c r="A45" s="199"/>
      <c r="B45" s="196" t="s">
        <v>461</v>
      </c>
      <c r="C45" s="434">
        <f>N20</f>
        <v>888000</v>
      </c>
      <c r="D45" s="434"/>
      <c r="E45" s="434"/>
      <c r="F45" s="154" t="s">
        <v>6</v>
      </c>
      <c r="G45" s="426">
        <f>SUM(G27:G28)</f>
        <v>23232</v>
      </c>
      <c r="H45" s="426"/>
      <c r="I45" s="199"/>
      <c r="Q45" s="199"/>
      <c r="R45" s="199"/>
    </row>
    <row r="46" spans="1:18" ht="15" customHeight="1">
      <c r="A46" s="199"/>
      <c r="B46" s="196" t="s">
        <v>5</v>
      </c>
      <c r="C46" s="426">
        <f>C45/G45</f>
        <v>38.22314049586777</v>
      </c>
      <c r="D46" s="426"/>
      <c r="E46" s="199"/>
      <c r="F46" s="199"/>
      <c r="G46" s="199"/>
      <c r="H46" s="199"/>
      <c r="I46" s="154" t="s">
        <v>46</v>
      </c>
      <c r="J46" s="426">
        <f>O3</f>
        <v>120</v>
      </c>
      <c r="K46" s="426"/>
      <c r="L46" s="437" t="s">
        <v>298</v>
      </c>
      <c r="M46" s="437"/>
      <c r="O46" s="423" t="str">
        <f>IF(C46&lt;J46,"ＯＫ","ＮＧ")</f>
        <v>ＯＫ</v>
      </c>
      <c r="P46" s="423"/>
      <c r="Q46" s="199"/>
      <c r="R46" s="199"/>
    </row>
    <row r="47" spans="1:18" ht="15" customHeight="1">
      <c r="A47" s="199"/>
      <c r="B47" s="196"/>
      <c r="C47" s="199"/>
      <c r="D47" s="154"/>
      <c r="E47" s="199"/>
      <c r="F47" s="199"/>
      <c r="G47" s="196"/>
      <c r="H47" s="169"/>
      <c r="I47" s="169"/>
      <c r="J47" s="199"/>
      <c r="K47" s="199"/>
      <c r="M47" s="199"/>
      <c r="N47" s="222"/>
      <c r="O47" s="199"/>
      <c r="P47" s="199"/>
      <c r="Q47" s="199"/>
      <c r="R47" s="199"/>
    </row>
    <row r="48" spans="2:16" ht="15" customHeight="1">
      <c r="B48" s="196" t="s">
        <v>194</v>
      </c>
      <c r="C48" s="428" t="str">
        <f>IF(OR(C40&gt;C43,C40=C43),"（σt／σa）^2＋（τ／τa）^2＝","（σc／σa）^2＋（τ／τa）^2＝")</f>
        <v>（σt／σa）^2＋（τ／τa）^2＝</v>
      </c>
      <c r="D48" s="428"/>
      <c r="E48" s="428"/>
      <c r="F48" s="428"/>
      <c r="G48" s="428"/>
      <c r="H48" s="428"/>
      <c r="I48" s="428"/>
      <c r="J48" s="450">
        <f>IF(OR(C40&gt;C43,C40=C43),(C40/J40)^2+(C46/J46)^2,(C43/J43)^2+(C46/J46)^2)</f>
        <v>0.5460074242372011</v>
      </c>
      <c r="K48" s="450"/>
      <c r="L48" s="154" t="s">
        <v>46</v>
      </c>
      <c r="M48" s="199">
        <v>1.2</v>
      </c>
      <c r="N48" s="199"/>
      <c r="O48" s="423" t="str">
        <f>IF(J48&lt;M48,"ＯＫ","ＮＧ")</f>
        <v>ＯＫ</v>
      </c>
      <c r="P48" s="423"/>
    </row>
    <row r="49" spans="2:5" ht="12.75">
      <c r="B49" s="220"/>
      <c r="D49" s="224"/>
      <c r="E49" s="227"/>
    </row>
    <row r="50" spans="2:8" ht="12.75">
      <c r="B50" s="220"/>
      <c r="C50" s="228"/>
      <c r="D50" s="224"/>
      <c r="F50" s="224"/>
      <c r="H50" s="224"/>
    </row>
    <row r="51" spans="2:7" ht="12.75">
      <c r="B51" s="220"/>
      <c r="D51" s="224"/>
      <c r="E51" s="220"/>
      <c r="G51" s="224"/>
    </row>
  </sheetData>
  <sheetProtection sheet="1" objects="1" scenarios="1"/>
  <mergeCells count="72">
    <mergeCell ref="L43:M43"/>
    <mergeCell ref="D3:F3"/>
    <mergeCell ref="I3:J3"/>
    <mergeCell ref="O3:P3"/>
    <mergeCell ref="B2:S2"/>
    <mergeCell ref="N9:O9"/>
    <mergeCell ref="N10:O10"/>
    <mergeCell ref="N11:O11"/>
    <mergeCell ref="N13:O13"/>
    <mergeCell ref="I28:J28"/>
    <mergeCell ref="K28:M28"/>
    <mergeCell ref="K29:M29"/>
    <mergeCell ref="N14:O14"/>
    <mergeCell ref="N15:O15"/>
    <mergeCell ref="N19:O19"/>
    <mergeCell ref="N20:O20"/>
    <mergeCell ref="I26:J26"/>
    <mergeCell ref="K26:M26"/>
    <mergeCell ref="N26:P26"/>
    <mergeCell ref="K33:L33"/>
    <mergeCell ref="C31:E31"/>
    <mergeCell ref="N33:O33"/>
    <mergeCell ref="I27:J27"/>
    <mergeCell ref="K27:M27"/>
    <mergeCell ref="N27:P27"/>
    <mergeCell ref="G31:H31"/>
    <mergeCell ref="J31:K31"/>
    <mergeCell ref="N28:P28"/>
    <mergeCell ref="N29:P29"/>
    <mergeCell ref="C34:E34"/>
    <mergeCell ref="G33:I33"/>
    <mergeCell ref="G36:H36"/>
    <mergeCell ref="C37:E37"/>
    <mergeCell ref="C33:E33"/>
    <mergeCell ref="C39:E39"/>
    <mergeCell ref="G39:I39"/>
    <mergeCell ref="C36:E36"/>
    <mergeCell ref="K39:L39"/>
    <mergeCell ref="L40:M40"/>
    <mergeCell ref="L46:M46"/>
    <mergeCell ref="C42:E42"/>
    <mergeCell ref="G42:I42"/>
    <mergeCell ref="K42:L42"/>
    <mergeCell ref="C43:D43"/>
    <mergeCell ref="J48:K48"/>
    <mergeCell ref="C40:D40"/>
    <mergeCell ref="C45:E45"/>
    <mergeCell ref="G45:H45"/>
    <mergeCell ref="C46:D46"/>
    <mergeCell ref="J40:K40"/>
    <mergeCell ref="J46:K46"/>
    <mergeCell ref="J43:K43"/>
    <mergeCell ref="Q26:S26"/>
    <mergeCell ref="Q27:S27"/>
    <mergeCell ref="Q28:S28"/>
    <mergeCell ref="Q29:S29"/>
    <mergeCell ref="C26:D26"/>
    <mergeCell ref="C27:D27"/>
    <mergeCell ref="C28:D28"/>
    <mergeCell ref="E26:F26"/>
    <mergeCell ref="E27:F27"/>
    <mergeCell ref="E28:F28"/>
    <mergeCell ref="N16:O16"/>
    <mergeCell ref="O40:P40"/>
    <mergeCell ref="O46:P46"/>
    <mergeCell ref="O48:P48"/>
    <mergeCell ref="O43:P43"/>
    <mergeCell ref="G26:H26"/>
    <mergeCell ref="G27:H27"/>
    <mergeCell ref="G28:H28"/>
    <mergeCell ref="G29:H29"/>
    <mergeCell ref="C48:I48"/>
  </mergeCells>
  <printOptions/>
  <pageMargins left="0.98425196850393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B49"/>
  <sheetViews>
    <sheetView zoomScalePageLayoutView="0" workbookViewId="0" topLeftCell="A1">
      <selection activeCell="S5" sqref="S5"/>
    </sheetView>
  </sheetViews>
  <sheetFormatPr defaultColWidth="4.375" defaultRowHeight="15.75" customHeight="1"/>
  <cols>
    <col min="1" max="5" width="4.375" style="254" customWidth="1"/>
    <col min="6" max="6" width="4.75390625" style="254" customWidth="1"/>
    <col min="7" max="16384" width="4.375" style="254" customWidth="1"/>
  </cols>
  <sheetData>
    <row r="1" spans="1:2" s="231" customFormat="1" ht="15" customHeight="1">
      <c r="A1" s="229" t="s">
        <v>233</v>
      </c>
      <c r="B1" s="230" t="s">
        <v>234</v>
      </c>
    </row>
    <row r="2" spans="2:10" s="231" customFormat="1" ht="15" customHeight="1">
      <c r="B2" s="230" t="s">
        <v>304</v>
      </c>
      <c r="C2" s="232"/>
      <c r="D2" s="232"/>
      <c r="E2" s="232"/>
      <c r="F2" s="232"/>
      <c r="G2" s="232"/>
      <c r="H2" s="232"/>
      <c r="I2" s="232"/>
      <c r="J2" s="232"/>
    </row>
    <row r="3" spans="2:22" s="231" customFormat="1" ht="30" customHeight="1">
      <c r="B3" s="470" t="str">
        <f>"ここでは、ケーブルが偏向具部で水平方向に 15°折れ曲ると仮定する。鋼材の許容応力は割増係数 "&amp;'入力表'!D22&amp;" を考慮する。"</f>
        <v>ここでは、ケーブルが偏向具部で水平方向に 15°折れ曲ると仮定する。鋼材の許容応力は割増係数 1.5 を考慮する。</v>
      </c>
      <c r="C3" s="470"/>
      <c r="D3" s="470"/>
      <c r="E3" s="470"/>
      <c r="F3" s="470"/>
      <c r="G3" s="470"/>
      <c r="H3" s="470"/>
      <c r="I3" s="470"/>
      <c r="J3" s="470"/>
      <c r="K3" s="470"/>
      <c r="L3" s="470"/>
      <c r="M3" s="470"/>
      <c r="N3" s="470"/>
      <c r="O3" s="470"/>
      <c r="P3" s="470"/>
      <c r="Q3" s="470"/>
      <c r="R3" s="470"/>
      <c r="S3" s="470"/>
      <c r="T3" s="232"/>
      <c r="U3" s="232"/>
      <c r="V3" s="232"/>
    </row>
    <row r="4" spans="2:23" s="231" customFormat="1" ht="15" customHeight="1">
      <c r="B4" s="461" t="s">
        <v>71</v>
      </c>
      <c r="C4" s="461"/>
      <c r="D4" s="461" t="str">
        <f>'入力表'!D21</f>
        <v>SM400A</v>
      </c>
      <c r="E4" s="461"/>
      <c r="F4" s="461"/>
      <c r="H4" s="229" t="s">
        <v>459</v>
      </c>
      <c r="I4" s="459">
        <f>'入力表'!D23</f>
        <v>210</v>
      </c>
      <c r="J4" s="459"/>
      <c r="K4" s="437" t="s">
        <v>298</v>
      </c>
      <c r="L4" s="437"/>
      <c r="N4" s="229" t="s">
        <v>460</v>
      </c>
      <c r="O4" s="459">
        <f>'入力表'!D24</f>
        <v>120</v>
      </c>
      <c r="P4" s="459"/>
      <c r="Q4" s="437" t="s">
        <v>298</v>
      </c>
      <c r="R4" s="437"/>
      <c r="S4" s="232"/>
      <c r="T4" s="232"/>
      <c r="U4" s="232"/>
      <c r="V4" s="232"/>
      <c r="W4" s="232"/>
    </row>
    <row r="5" spans="2:23" s="231" customFormat="1" ht="15" customHeight="1">
      <c r="B5" s="229"/>
      <c r="C5" s="229"/>
      <c r="D5" s="229"/>
      <c r="E5" s="174"/>
      <c r="F5" s="174"/>
      <c r="H5" s="229"/>
      <c r="I5" s="233"/>
      <c r="J5" s="233"/>
      <c r="K5" s="198"/>
      <c r="L5" s="198"/>
      <c r="N5" s="229"/>
      <c r="O5" s="233"/>
      <c r="P5" s="233"/>
      <c r="Q5" s="198"/>
      <c r="R5" s="198"/>
      <c r="S5" s="232"/>
      <c r="T5" s="232"/>
      <c r="U5" s="232"/>
      <c r="V5" s="232"/>
      <c r="W5" s="232"/>
    </row>
    <row r="6" spans="2:23" s="231" customFormat="1" ht="15" customHeight="1">
      <c r="B6" s="229"/>
      <c r="C6" s="229"/>
      <c r="D6" s="229"/>
      <c r="E6" s="174"/>
      <c r="F6" s="174"/>
      <c r="H6" s="229"/>
      <c r="I6" s="233"/>
      <c r="J6" s="233"/>
      <c r="K6" s="198"/>
      <c r="L6" s="198"/>
      <c r="N6" s="229"/>
      <c r="O6" s="233"/>
      <c r="P6" s="233"/>
      <c r="Q6" s="198"/>
      <c r="R6" s="198"/>
      <c r="S6" s="232"/>
      <c r="T6" s="232"/>
      <c r="U6" s="232"/>
      <c r="V6" s="232"/>
      <c r="W6" s="232"/>
    </row>
    <row r="7" spans="2:23" s="231" customFormat="1" ht="15" customHeight="1">
      <c r="B7" s="229"/>
      <c r="C7" s="229"/>
      <c r="D7" s="229"/>
      <c r="E7" s="174"/>
      <c r="F7" s="174"/>
      <c r="H7" s="229"/>
      <c r="I7" s="233"/>
      <c r="J7" s="233"/>
      <c r="K7" s="198"/>
      <c r="L7" s="198"/>
      <c r="N7" s="229"/>
      <c r="O7" s="233"/>
      <c r="P7" s="233"/>
      <c r="Q7" s="198"/>
      <c r="R7" s="198"/>
      <c r="S7" s="232"/>
      <c r="T7" s="232"/>
      <c r="U7" s="232"/>
      <c r="V7" s="232"/>
      <c r="W7" s="232"/>
    </row>
    <row r="8" spans="2:23" s="231" customFormat="1" ht="15" customHeight="1">
      <c r="B8" s="229"/>
      <c r="C8" s="229"/>
      <c r="D8" s="229"/>
      <c r="E8" s="174"/>
      <c r="F8" s="174"/>
      <c r="H8" s="229"/>
      <c r="I8" s="233"/>
      <c r="J8" s="233"/>
      <c r="K8" s="198"/>
      <c r="L8" s="198"/>
      <c r="N8" s="229"/>
      <c r="O8" s="233"/>
      <c r="P8" s="233"/>
      <c r="Q8" s="198"/>
      <c r="R8" s="198"/>
      <c r="S8" s="232"/>
      <c r="T8" s="232"/>
      <c r="U8" s="232"/>
      <c r="V8" s="232"/>
      <c r="W8" s="232"/>
    </row>
    <row r="9" spans="1:23" s="231" customFormat="1" ht="15" customHeight="1">
      <c r="A9" s="232"/>
      <c r="B9" s="232"/>
      <c r="C9" s="232"/>
      <c r="D9" s="232"/>
      <c r="E9" s="232"/>
      <c r="F9" s="232"/>
      <c r="G9" s="232"/>
      <c r="H9" s="232"/>
      <c r="I9" s="232"/>
      <c r="J9" s="232"/>
      <c r="K9" s="232"/>
      <c r="N9" s="234"/>
      <c r="O9" s="234"/>
      <c r="S9" s="232"/>
      <c r="T9" s="232"/>
      <c r="U9" s="232"/>
      <c r="V9" s="232"/>
      <c r="W9" s="232"/>
    </row>
    <row r="10" spans="1:23" s="231" customFormat="1" ht="15" customHeight="1">
      <c r="A10" s="232"/>
      <c r="B10" s="232"/>
      <c r="C10" s="232"/>
      <c r="D10" s="232"/>
      <c r="E10" s="232"/>
      <c r="F10" s="232"/>
      <c r="G10" s="232"/>
      <c r="H10" s="232"/>
      <c r="I10" s="232"/>
      <c r="J10" s="232"/>
      <c r="K10" s="232"/>
      <c r="S10" s="232"/>
      <c r="T10" s="232"/>
      <c r="U10" s="232"/>
      <c r="V10" s="232"/>
      <c r="W10" s="232"/>
    </row>
    <row r="11" spans="1:23" s="231" customFormat="1" ht="15" customHeight="1">
      <c r="A11" s="232"/>
      <c r="B11" s="232"/>
      <c r="C11" s="232"/>
      <c r="D11" s="232"/>
      <c r="E11" s="232"/>
      <c r="F11" s="232"/>
      <c r="G11" s="232"/>
      <c r="H11" s="232"/>
      <c r="I11" s="232"/>
      <c r="J11" s="232"/>
      <c r="K11" s="232"/>
      <c r="L11" s="232"/>
      <c r="S11" s="232"/>
      <c r="T11" s="232"/>
      <c r="U11" s="232"/>
      <c r="V11" s="232"/>
      <c r="W11" s="232"/>
    </row>
    <row r="12" spans="1:23" s="231" customFormat="1" ht="15" customHeight="1">
      <c r="A12" s="232"/>
      <c r="B12" s="232"/>
      <c r="C12" s="232"/>
      <c r="D12" s="232"/>
      <c r="E12" s="232"/>
      <c r="F12" s="232"/>
      <c r="G12" s="232"/>
      <c r="H12" s="232"/>
      <c r="I12" s="232"/>
      <c r="J12" s="232"/>
      <c r="K12" s="232"/>
      <c r="L12" s="232"/>
      <c r="S12" s="232"/>
      <c r="T12" s="232"/>
      <c r="U12" s="232"/>
      <c r="V12" s="232"/>
      <c r="W12" s="232"/>
    </row>
    <row r="13" spans="1:12" s="231" customFormat="1" ht="15" customHeight="1">
      <c r="A13" s="232"/>
      <c r="B13" s="232"/>
      <c r="C13" s="232"/>
      <c r="D13" s="232"/>
      <c r="E13" s="232"/>
      <c r="F13" s="232"/>
      <c r="G13" s="232"/>
      <c r="H13" s="232"/>
      <c r="I13" s="232"/>
      <c r="J13" s="232"/>
      <c r="K13" s="232"/>
      <c r="L13" s="232"/>
    </row>
    <row r="14" spans="1:12" s="231" customFormat="1" ht="15" customHeight="1">
      <c r="A14" s="232"/>
      <c r="B14" s="235"/>
      <c r="C14" s="232"/>
      <c r="D14" s="232"/>
      <c r="E14" s="232"/>
      <c r="F14" s="232"/>
      <c r="G14" s="232"/>
      <c r="H14" s="232"/>
      <c r="I14" s="232"/>
      <c r="J14" s="232"/>
      <c r="K14" s="232"/>
      <c r="L14" s="232"/>
    </row>
    <row r="15" spans="1:12" s="231" customFormat="1" ht="15" customHeight="1">
      <c r="A15" s="232"/>
      <c r="B15" s="232"/>
      <c r="C15" s="232"/>
      <c r="D15" s="232"/>
      <c r="E15" s="232"/>
      <c r="F15" s="232"/>
      <c r="G15" s="232"/>
      <c r="H15" s="232"/>
      <c r="I15" s="232"/>
      <c r="J15" s="232"/>
      <c r="K15" s="232"/>
      <c r="L15" s="232"/>
    </row>
    <row r="16" spans="1:12" s="231" customFormat="1" ht="15" customHeight="1">
      <c r="A16" s="232"/>
      <c r="B16" s="232"/>
      <c r="C16" s="232"/>
      <c r="D16" s="232"/>
      <c r="E16" s="232"/>
      <c r="F16" s="232"/>
      <c r="G16" s="232"/>
      <c r="H16" s="232"/>
      <c r="I16" s="232"/>
      <c r="J16" s="232"/>
      <c r="K16" s="232"/>
      <c r="L16" s="232"/>
    </row>
    <row r="17" spans="1:14" s="231" customFormat="1" ht="15" customHeight="1">
      <c r="A17" s="232"/>
      <c r="B17" s="232"/>
      <c r="C17" s="232"/>
      <c r="D17" s="232"/>
      <c r="E17" s="232"/>
      <c r="F17" s="232"/>
      <c r="G17" s="232"/>
      <c r="H17" s="232"/>
      <c r="I17" s="232"/>
      <c r="J17" s="229" t="s">
        <v>27</v>
      </c>
      <c r="K17" s="466">
        <f>P*1000</f>
        <v>888000</v>
      </c>
      <c r="L17" s="466"/>
      <c r="M17" s="466"/>
      <c r="N17" s="232" t="s">
        <v>192</v>
      </c>
    </row>
    <row r="18" spans="1:28" s="231" customFormat="1" ht="15" customHeight="1">
      <c r="A18" s="232"/>
      <c r="B18" s="232"/>
      <c r="C18" s="235"/>
      <c r="D18" s="235"/>
      <c r="E18" s="232"/>
      <c r="F18" s="232"/>
      <c r="G18" s="232"/>
      <c r="H18" s="232"/>
      <c r="I18" s="232"/>
      <c r="J18" s="229" t="s">
        <v>230</v>
      </c>
      <c r="K18" s="466">
        <f>H</f>
        <v>350</v>
      </c>
      <c r="L18" s="466"/>
      <c r="M18" s="466"/>
      <c r="N18" s="232" t="s">
        <v>146</v>
      </c>
      <c r="AB18" s="232"/>
    </row>
    <row r="19" spans="1:14" s="231" customFormat="1" ht="15" customHeight="1">
      <c r="A19" s="232"/>
      <c r="B19" s="232"/>
      <c r="C19" s="232"/>
      <c r="D19" s="232"/>
      <c r="E19" s="232"/>
      <c r="F19" s="232"/>
      <c r="G19" s="232"/>
      <c r="H19" s="232"/>
      <c r="I19" s="232"/>
      <c r="J19" s="229" t="s">
        <v>306</v>
      </c>
      <c r="K19" s="466">
        <f>'入力表'!D37</f>
        <v>214</v>
      </c>
      <c r="L19" s="466"/>
      <c r="M19" s="466"/>
      <c r="N19" s="232" t="s">
        <v>146</v>
      </c>
    </row>
    <row r="20" spans="1:23" s="231" customFormat="1" ht="15" customHeight="1">
      <c r="A20" s="232"/>
      <c r="B20" s="232"/>
      <c r="C20" s="232"/>
      <c r="D20" s="232"/>
      <c r="E20" s="232"/>
      <c r="F20" s="232"/>
      <c r="G20" s="232"/>
      <c r="H20" s="232"/>
      <c r="I20" s="232"/>
      <c r="J20" s="229" t="s">
        <v>411</v>
      </c>
      <c r="K20" s="466">
        <f>'入力表'!D36</f>
        <v>180</v>
      </c>
      <c r="L20" s="466"/>
      <c r="M20" s="466"/>
      <c r="N20" s="232" t="s">
        <v>146</v>
      </c>
      <c r="Q20" s="232"/>
      <c r="S20" s="232"/>
      <c r="T20" s="232"/>
      <c r="U20" s="232"/>
      <c r="V20" s="232"/>
      <c r="W20" s="232"/>
    </row>
    <row r="21" spans="1:22" s="231" customFormat="1" ht="15" customHeight="1">
      <c r="A21" s="232"/>
      <c r="B21" s="232"/>
      <c r="I21" s="232"/>
      <c r="J21" s="236" t="s">
        <v>305</v>
      </c>
      <c r="K21" s="461">
        <f>'入力表'!D41</f>
        <v>50</v>
      </c>
      <c r="L21" s="461"/>
      <c r="M21" s="461"/>
      <c r="N21" s="232" t="s">
        <v>146</v>
      </c>
      <c r="R21" s="232"/>
      <c r="S21" s="232"/>
      <c r="T21" s="232"/>
      <c r="U21" s="232"/>
      <c r="V21" s="232"/>
    </row>
    <row r="22" spans="1:22" s="231" customFormat="1" ht="15" customHeight="1">
      <c r="A22" s="232"/>
      <c r="B22" s="232"/>
      <c r="I22" s="232"/>
      <c r="J22" s="229" t="s">
        <v>231</v>
      </c>
      <c r="K22" s="461">
        <f>RIB!L20</f>
        <v>22</v>
      </c>
      <c r="L22" s="461"/>
      <c r="M22" s="461"/>
      <c r="N22" s="232" t="s">
        <v>146</v>
      </c>
      <c r="R22" s="232"/>
      <c r="S22" s="232"/>
      <c r="T22" s="232"/>
      <c r="U22" s="232"/>
      <c r="V22" s="232"/>
    </row>
    <row r="23" spans="1:14" s="231" customFormat="1" ht="15" customHeight="1">
      <c r="A23" s="232"/>
      <c r="B23" s="232"/>
      <c r="I23" s="232"/>
      <c r="J23" s="229" t="s">
        <v>232</v>
      </c>
      <c r="K23" s="461">
        <f>'入力表'!D42</f>
        <v>22</v>
      </c>
      <c r="L23" s="461"/>
      <c r="M23" s="461"/>
      <c r="N23" s="232" t="s">
        <v>146</v>
      </c>
    </row>
    <row r="24" spans="1:2" s="231" customFormat="1" ht="15" customHeight="1">
      <c r="A24" s="232"/>
      <c r="B24" s="232"/>
    </row>
    <row r="25" spans="1:7" s="231" customFormat="1" ht="15" customHeight="1">
      <c r="A25" s="232"/>
      <c r="B25" s="232"/>
      <c r="G25" s="232"/>
    </row>
    <row r="26" spans="1:19" s="231" customFormat="1" ht="15" customHeight="1">
      <c r="A26" s="237"/>
      <c r="B26" s="154" t="s">
        <v>34</v>
      </c>
      <c r="C26" s="169" t="s">
        <v>262</v>
      </c>
      <c r="D26" s="169"/>
      <c r="E26" s="169" t="s">
        <v>36</v>
      </c>
      <c r="F26" s="169"/>
      <c r="G26" s="169" t="s">
        <v>307</v>
      </c>
      <c r="H26" s="169"/>
      <c r="I26" s="169" t="s">
        <v>308</v>
      </c>
      <c r="J26" s="222"/>
      <c r="K26" s="169" t="s">
        <v>309</v>
      </c>
      <c r="L26" s="222"/>
      <c r="M26" s="169"/>
      <c r="N26" s="169" t="s">
        <v>310</v>
      </c>
      <c r="O26" s="169"/>
      <c r="P26" s="169"/>
      <c r="Q26" s="169" t="s">
        <v>311</v>
      </c>
      <c r="R26" s="222"/>
      <c r="S26" s="222"/>
    </row>
    <row r="27" spans="1:19" s="231" customFormat="1" ht="15" customHeight="1">
      <c r="A27" s="237" t="s">
        <v>312</v>
      </c>
      <c r="B27" s="174">
        <v>1</v>
      </c>
      <c r="C27" s="238">
        <f>K20</f>
        <v>180</v>
      </c>
      <c r="D27" s="238"/>
      <c r="E27" s="238">
        <f>K22</f>
        <v>22</v>
      </c>
      <c r="F27" s="238"/>
      <c r="G27" s="459">
        <f>B27*C27*E27</f>
        <v>3960</v>
      </c>
      <c r="H27" s="459"/>
      <c r="I27" s="468">
        <f>C28+E27/2</f>
        <v>61</v>
      </c>
      <c r="J27" s="468"/>
      <c r="K27" s="459">
        <f>G27*I27</f>
        <v>241560</v>
      </c>
      <c r="L27" s="459"/>
      <c r="M27" s="459"/>
      <c r="N27" s="459">
        <f>ROUND(G27*I27^2,0)</f>
        <v>14735160</v>
      </c>
      <c r="O27" s="459"/>
      <c r="P27" s="459"/>
      <c r="Q27" s="464">
        <f>C27*E27^3/12*B27</f>
        <v>159720</v>
      </c>
      <c r="R27" s="464"/>
      <c r="S27" s="464"/>
    </row>
    <row r="28" spans="1:19" s="231" customFormat="1" ht="15" customHeight="1">
      <c r="A28" s="240" t="s">
        <v>313</v>
      </c>
      <c r="B28" s="241">
        <f>'入力表'!E41</f>
        <v>1</v>
      </c>
      <c r="C28" s="242">
        <f>K21</f>
        <v>50</v>
      </c>
      <c r="D28" s="243"/>
      <c r="E28" s="242">
        <f>K23</f>
        <v>22</v>
      </c>
      <c r="F28" s="243"/>
      <c r="G28" s="465">
        <f>B28*C28*E28</f>
        <v>1100</v>
      </c>
      <c r="H28" s="465"/>
      <c r="I28" s="469">
        <f>C28/2</f>
        <v>25</v>
      </c>
      <c r="J28" s="469"/>
      <c r="K28" s="465">
        <f>G28*I28</f>
        <v>27500</v>
      </c>
      <c r="L28" s="465"/>
      <c r="M28" s="465"/>
      <c r="N28" s="465">
        <f>ROUND(G28*I28^2,0)</f>
        <v>687500</v>
      </c>
      <c r="O28" s="465"/>
      <c r="P28" s="465"/>
      <c r="Q28" s="465">
        <f>E28*C28^3/12*B28</f>
        <v>229166.66666666666</v>
      </c>
      <c r="R28" s="465"/>
      <c r="S28" s="465"/>
    </row>
    <row r="29" spans="1:19" s="231" customFormat="1" ht="15" customHeight="1">
      <c r="A29" s="237"/>
      <c r="B29" s="232"/>
      <c r="C29" s="232"/>
      <c r="D29" s="232"/>
      <c r="E29" s="232"/>
      <c r="F29" s="232"/>
      <c r="G29" s="467">
        <f>ROUND(SUM(G27:G28),1)</f>
        <v>5060</v>
      </c>
      <c r="H29" s="467"/>
      <c r="I29" s="238" t="s">
        <v>40</v>
      </c>
      <c r="J29" s="238"/>
      <c r="K29" s="464">
        <f>SUM(K27:L28)</f>
        <v>269060</v>
      </c>
      <c r="L29" s="464"/>
      <c r="M29" s="464"/>
      <c r="N29" s="459">
        <f>ROUND(SUM(N27:N28),0)</f>
        <v>15422660</v>
      </c>
      <c r="O29" s="459"/>
      <c r="P29" s="459"/>
      <c r="Q29" s="464">
        <f>SUM(Q27:S28)</f>
        <v>388886.6666666666</v>
      </c>
      <c r="R29" s="464"/>
      <c r="S29" s="464"/>
    </row>
    <row r="30" spans="1:14" s="231" customFormat="1" ht="15" customHeight="1">
      <c r="A30" s="232"/>
      <c r="B30" s="232"/>
      <c r="C30" s="232"/>
      <c r="D30" s="232"/>
      <c r="E30" s="232"/>
      <c r="F30" s="232"/>
      <c r="G30" s="232"/>
      <c r="H30" s="232"/>
      <c r="I30" s="232"/>
      <c r="J30" s="232"/>
      <c r="K30" s="232"/>
      <c r="N30" s="238"/>
    </row>
    <row r="31" spans="2:11" s="232" customFormat="1" ht="15" customHeight="1">
      <c r="B31" s="229" t="s">
        <v>41</v>
      </c>
      <c r="C31" s="459">
        <f>K29</f>
        <v>269060</v>
      </c>
      <c r="D31" s="459"/>
      <c r="E31" s="459"/>
      <c r="F31" s="174" t="s">
        <v>6</v>
      </c>
      <c r="G31" s="459">
        <f>G29</f>
        <v>5060</v>
      </c>
      <c r="H31" s="459"/>
      <c r="I31" s="174" t="s">
        <v>5</v>
      </c>
      <c r="J31" s="468">
        <f>C31/G31</f>
        <v>53.17391304347826</v>
      </c>
      <c r="K31" s="468"/>
    </row>
    <row r="32" spans="2:6" s="232" customFormat="1" ht="15" customHeight="1">
      <c r="B32" s="229"/>
      <c r="D32" s="174"/>
      <c r="F32" s="174"/>
    </row>
    <row r="33" spans="2:16" s="232" customFormat="1" ht="15" customHeight="1">
      <c r="B33" s="229" t="s">
        <v>42</v>
      </c>
      <c r="C33" s="459">
        <f>N29</f>
        <v>15422660</v>
      </c>
      <c r="D33" s="459"/>
      <c r="E33" s="459"/>
      <c r="F33" s="174" t="s">
        <v>43</v>
      </c>
      <c r="G33" s="459">
        <f>Q29</f>
        <v>388886.6666666666</v>
      </c>
      <c r="H33" s="459"/>
      <c r="I33" s="459"/>
      <c r="J33" s="174" t="s">
        <v>40</v>
      </c>
      <c r="K33" s="459">
        <f>G29</f>
        <v>5060</v>
      </c>
      <c r="L33" s="459"/>
      <c r="M33" s="174" t="s">
        <v>15</v>
      </c>
      <c r="N33" s="468">
        <f>J31</f>
        <v>53.17391304347826</v>
      </c>
      <c r="O33" s="468"/>
      <c r="P33" s="244">
        <v>2</v>
      </c>
    </row>
    <row r="34" spans="2:6" s="232" customFormat="1" ht="15" customHeight="1">
      <c r="B34" s="229" t="s">
        <v>5</v>
      </c>
      <c r="C34" s="459">
        <f>C33+G33-(K33*N33^2)</f>
        <v>1504573.6231884062</v>
      </c>
      <c r="D34" s="459"/>
      <c r="E34" s="459"/>
      <c r="F34" s="174"/>
    </row>
    <row r="35" spans="2:6" s="232" customFormat="1" ht="15" customHeight="1">
      <c r="B35" s="229"/>
      <c r="C35" s="245"/>
      <c r="D35" s="238"/>
      <c r="F35" s="174"/>
    </row>
    <row r="36" spans="2:10" s="232" customFormat="1" ht="15" customHeight="1">
      <c r="B36" s="229" t="s">
        <v>314</v>
      </c>
      <c r="C36" s="461" t="s">
        <v>223</v>
      </c>
      <c r="D36" s="461"/>
      <c r="E36" s="461"/>
      <c r="F36" s="229" t="s">
        <v>5</v>
      </c>
      <c r="G36" s="459">
        <f>ROUND(K17*SIN(RADIANS(15)),0)</f>
        <v>229831</v>
      </c>
      <c r="H36" s="459"/>
      <c r="I36" s="459"/>
      <c r="J36" s="232" t="s">
        <v>315</v>
      </c>
    </row>
    <row r="37" spans="6:8" s="232" customFormat="1" ht="15" customHeight="1">
      <c r="F37" s="229"/>
      <c r="G37" s="233"/>
      <c r="H37" s="174"/>
    </row>
    <row r="38" spans="1:15" s="231" customFormat="1" ht="15" customHeight="1">
      <c r="A38" s="232"/>
      <c r="B38" s="229" t="s">
        <v>224</v>
      </c>
      <c r="C38" s="462" t="s">
        <v>316</v>
      </c>
      <c r="D38" s="462"/>
      <c r="E38" s="174" t="s">
        <v>5</v>
      </c>
      <c r="F38" s="459">
        <f>G36</f>
        <v>229831</v>
      </c>
      <c r="G38" s="459"/>
      <c r="H38" s="459"/>
      <c r="I38" s="239" t="s">
        <v>6</v>
      </c>
      <c r="J38" s="464">
        <f>K19</f>
        <v>214</v>
      </c>
      <c r="K38" s="464"/>
      <c r="L38" s="229" t="s">
        <v>5</v>
      </c>
      <c r="M38" s="459">
        <f>ROUND(F38/J38,0)</f>
        <v>1074</v>
      </c>
      <c r="N38" s="461"/>
      <c r="O38" s="232" t="s">
        <v>317</v>
      </c>
    </row>
    <row r="39" spans="1:10" s="231" customFormat="1" ht="15" customHeight="1">
      <c r="A39" s="232"/>
      <c r="H39" s="238"/>
      <c r="I39" s="239"/>
      <c r="J39" s="246"/>
    </row>
    <row r="40" spans="1:14" s="231" customFormat="1" ht="15" customHeight="1">
      <c r="A40" s="232"/>
      <c r="B40" s="229" t="s">
        <v>44</v>
      </c>
      <c r="C40" s="459">
        <f>M38</f>
        <v>1074</v>
      </c>
      <c r="D40" s="459"/>
      <c r="E40" s="174" t="s">
        <v>15</v>
      </c>
      <c r="F40" s="459">
        <f>K19</f>
        <v>214</v>
      </c>
      <c r="G40" s="459"/>
      <c r="H40" s="247" t="s">
        <v>318</v>
      </c>
      <c r="I40" s="232">
        <v>12</v>
      </c>
      <c r="J40" s="229" t="s">
        <v>5</v>
      </c>
      <c r="K40" s="459">
        <f>C40*F40^2/I40</f>
        <v>4098742</v>
      </c>
      <c r="L40" s="459"/>
      <c r="M40" s="459"/>
      <c r="N40" s="232" t="s">
        <v>319</v>
      </c>
    </row>
    <row r="41" spans="1:11" s="231" customFormat="1" ht="15" customHeight="1">
      <c r="A41" s="232"/>
      <c r="G41" s="232"/>
      <c r="H41" s="232"/>
      <c r="I41" s="232"/>
      <c r="J41" s="232"/>
      <c r="K41" s="232"/>
    </row>
    <row r="42" spans="1:13" s="231" customFormat="1" ht="15" customHeight="1">
      <c r="A42" s="232"/>
      <c r="B42" s="229" t="s">
        <v>225</v>
      </c>
      <c r="C42" s="459">
        <f>K40</f>
        <v>4098742</v>
      </c>
      <c r="D42" s="459"/>
      <c r="E42" s="459"/>
      <c r="F42" s="174" t="s">
        <v>320</v>
      </c>
      <c r="G42" s="459">
        <f>C34</f>
        <v>1504573.6231884062</v>
      </c>
      <c r="H42" s="459"/>
      <c r="I42" s="459"/>
      <c r="J42" s="174" t="s">
        <v>15</v>
      </c>
      <c r="K42" s="471">
        <f>J31</f>
        <v>53.17391304347826</v>
      </c>
      <c r="L42" s="471"/>
      <c r="M42" s="471"/>
    </row>
    <row r="43" spans="1:16" s="231" customFormat="1" ht="15" customHeight="1">
      <c r="A43" s="232"/>
      <c r="B43" s="229" t="s">
        <v>5</v>
      </c>
      <c r="C43" s="459">
        <f>C42*K42/G42</f>
        <v>144.85575669856098</v>
      </c>
      <c r="D43" s="459"/>
      <c r="E43" s="232"/>
      <c r="F43" s="232"/>
      <c r="I43" s="174" t="s">
        <v>46</v>
      </c>
      <c r="J43" s="248">
        <f>I4</f>
        <v>210</v>
      </c>
      <c r="K43" s="249"/>
      <c r="L43" s="437" t="s">
        <v>321</v>
      </c>
      <c r="M43" s="437"/>
      <c r="N43" s="232"/>
      <c r="O43" s="250" t="str">
        <f>IF(C43&lt;J43,"ＯＫ","ＮＧ")</f>
        <v>ＯＫ</v>
      </c>
      <c r="P43" s="249"/>
    </row>
    <row r="44" spans="1:8" s="231" customFormat="1" ht="15" customHeight="1">
      <c r="A44" s="232"/>
      <c r="B44" s="229"/>
      <c r="C44" s="233"/>
      <c r="D44" s="233"/>
      <c r="E44" s="232"/>
      <c r="F44" s="232"/>
      <c r="G44" s="232"/>
      <c r="H44" s="232"/>
    </row>
    <row r="45" spans="1:15" s="231" customFormat="1" ht="15" customHeight="1">
      <c r="A45" s="232"/>
      <c r="B45" s="229" t="s">
        <v>226</v>
      </c>
      <c r="C45" s="232" t="s">
        <v>322</v>
      </c>
      <c r="D45" s="232"/>
      <c r="E45" s="232"/>
      <c r="F45" s="232"/>
      <c r="G45" s="174"/>
      <c r="H45" s="232"/>
      <c r="I45" s="232"/>
      <c r="J45" s="232"/>
      <c r="M45" s="232"/>
      <c r="N45" s="232"/>
      <c r="O45" s="232"/>
    </row>
    <row r="46" spans="1:18" s="231" customFormat="1" ht="15" customHeight="1">
      <c r="A46" s="232"/>
      <c r="B46" s="229" t="s">
        <v>5</v>
      </c>
      <c r="C46" s="248">
        <f>G36</f>
        <v>229831</v>
      </c>
      <c r="D46" s="238"/>
      <c r="E46" s="174" t="s">
        <v>320</v>
      </c>
      <c r="F46" s="251">
        <v>2</v>
      </c>
      <c r="G46" s="174" t="s">
        <v>15</v>
      </c>
      <c r="H46" s="459">
        <f>G29</f>
        <v>5060</v>
      </c>
      <c r="I46" s="461"/>
      <c r="J46" s="230" t="s">
        <v>323</v>
      </c>
      <c r="K46" s="252"/>
      <c r="L46" s="234"/>
      <c r="M46" s="174"/>
      <c r="N46" s="174"/>
      <c r="O46" s="174"/>
      <c r="P46" s="174"/>
      <c r="Q46" s="233"/>
      <c r="R46" s="232"/>
    </row>
    <row r="47" spans="1:16" s="231" customFormat="1" ht="15" customHeight="1">
      <c r="A47" s="232"/>
      <c r="B47" s="229" t="s">
        <v>5</v>
      </c>
      <c r="C47" s="249">
        <f>ROUND(C46/(F46*H46),0)</f>
        <v>23</v>
      </c>
      <c r="D47" s="238"/>
      <c r="H47" s="232"/>
      <c r="I47" s="174" t="s">
        <v>46</v>
      </c>
      <c r="J47" s="248">
        <f>O4</f>
        <v>120</v>
      </c>
      <c r="K47" s="238"/>
      <c r="L47" s="437" t="s">
        <v>321</v>
      </c>
      <c r="M47" s="437"/>
      <c r="O47" s="460" t="str">
        <f>IF(C47&lt;J47,"ＯＫ","ＮＧ")</f>
        <v>ＯＫ</v>
      </c>
      <c r="P47" s="460"/>
    </row>
    <row r="48" spans="1:18" s="231" customFormat="1" ht="15" customHeight="1">
      <c r="A48" s="232"/>
      <c r="Q48" s="232"/>
      <c r="R48" s="232"/>
    </row>
    <row r="49" spans="2:17" s="231" customFormat="1" ht="15" customHeight="1">
      <c r="B49" s="229" t="s">
        <v>324</v>
      </c>
      <c r="C49" s="462" t="s">
        <v>464</v>
      </c>
      <c r="D49" s="462"/>
      <c r="E49" s="462"/>
      <c r="F49" s="462"/>
      <c r="G49" s="462"/>
      <c r="H49" s="462"/>
      <c r="I49" s="462"/>
      <c r="J49" s="463">
        <f>(C43/J43)^2+(C47/J47)^2</f>
        <v>0.512545413803009</v>
      </c>
      <c r="K49" s="463"/>
      <c r="L49" s="174" t="s">
        <v>46</v>
      </c>
      <c r="M49" s="232">
        <v>1.2</v>
      </c>
      <c r="O49" s="458" t="str">
        <f>IF(J49&lt;M49,"ＯＫ","ＮＧ")</f>
        <v>ＯＫ</v>
      </c>
      <c r="P49" s="458"/>
      <c r="Q49" s="253"/>
    </row>
    <row r="50" s="231" customFormat="1" ht="15" customHeight="1"/>
  </sheetData>
  <sheetProtection sheet="1" objects="1" scenarios="1"/>
  <mergeCells count="56">
    <mergeCell ref="N33:O33"/>
    <mergeCell ref="C34:E34"/>
    <mergeCell ref="G42:I42"/>
    <mergeCell ref="K42:M42"/>
    <mergeCell ref="C38:D38"/>
    <mergeCell ref="J38:K38"/>
    <mergeCell ref="M38:N38"/>
    <mergeCell ref="F40:G40"/>
    <mergeCell ref="F38:H38"/>
    <mergeCell ref="C40:D40"/>
    <mergeCell ref="C36:E36"/>
    <mergeCell ref="G36:I36"/>
    <mergeCell ref="C31:E31"/>
    <mergeCell ref="G31:H31"/>
    <mergeCell ref="K18:M18"/>
    <mergeCell ref="J31:K31"/>
    <mergeCell ref="C33:E33"/>
    <mergeCell ref="G33:I33"/>
    <mergeCell ref="K33:L33"/>
    <mergeCell ref="G27:H27"/>
    <mergeCell ref="G28:H28"/>
    <mergeCell ref="G29:H29"/>
    <mergeCell ref="I27:J27"/>
    <mergeCell ref="I28:J28"/>
    <mergeCell ref="Q4:R4"/>
    <mergeCell ref="B3:S3"/>
    <mergeCell ref="K17:M17"/>
    <mergeCell ref="I4:J4"/>
    <mergeCell ref="O4:P4"/>
    <mergeCell ref="K4:L4"/>
    <mergeCell ref="B4:C4"/>
    <mergeCell ref="D4:F4"/>
    <mergeCell ref="K19:M19"/>
    <mergeCell ref="K20:M20"/>
    <mergeCell ref="K21:M21"/>
    <mergeCell ref="N27:P27"/>
    <mergeCell ref="Q27:S27"/>
    <mergeCell ref="K27:M27"/>
    <mergeCell ref="K22:M22"/>
    <mergeCell ref="K23:M23"/>
    <mergeCell ref="K28:M28"/>
    <mergeCell ref="K29:M29"/>
    <mergeCell ref="N28:P28"/>
    <mergeCell ref="Q28:S28"/>
    <mergeCell ref="N29:P29"/>
    <mergeCell ref="Q29:S29"/>
    <mergeCell ref="O49:P49"/>
    <mergeCell ref="C43:D43"/>
    <mergeCell ref="O47:P47"/>
    <mergeCell ref="L47:M47"/>
    <mergeCell ref="K40:M40"/>
    <mergeCell ref="C42:E42"/>
    <mergeCell ref="H46:I46"/>
    <mergeCell ref="L43:M43"/>
    <mergeCell ref="C49:I49"/>
    <mergeCell ref="J49:K49"/>
  </mergeCells>
  <printOptions/>
  <pageMargins left="0.984251968503937" right="0.7874015748031497" top="0.7874015748031497" bottom="0.7874015748031497"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W43"/>
  <sheetViews>
    <sheetView zoomScalePageLayoutView="0" workbookViewId="0" topLeftCell="A1">
      <selection activeCell="S4" sqref="S4"/>
    </sheetView>
  </sheetViews>
  <sheetFormatPr defaultColWidth="4.375" defaultRowHeight="15.75" customHeight="1"/>
  <cols>
    <col min="1" max="5" width="4.375" style="254" customWidth="1"/>
    <col min="6" max="6" width="4.75390625" style="254" customWidth="1"/>
    <col min="7" max="16384" width="4.375" style="254" customWidth="1"/>
  </cols>
  <sheetData>
    <row r="1" spans="2:11" s="231" customFormat="1" ht="15.75" customHeight="1">
      <c r="B1" s="230" t="s">
        <v>366</v>
      </c>
      <c r="C1" s="232"/>
      <c r="D1" s="232"/>
      <c r="E1" s="232"/>
      <c r="F1" s="232"/>
      <c r="G1" s="232"/>
      <c r="H1" s="232"/>
      <c r="I1" s="232"/>
      <c r="J1" s="232"/>
      <c r="K1" s="232"/>
    </row>
    <row r="2" spans="1:19" ht="31.5" customHeight="1">
      <c r="A2" s="255"/>
      <c r="B2" s="470" t="str">
        <f>"ここでは、ケーブルが偏向具部で鉛直方向に 30°折れ曲ると仮定する。鋼材の許容応力は割増係数 "&amp;'入力表'!D22&amp;" を考慮する。"</f>
        <v>ここでは、ケーブルが偏向具部で鉛直方向に 30°折れ曲ると仮定する。鋼材の許容応力は割増係数 1.5 を考慮する。</v>
      </c>
      <c r="C2" s="470"/>
      <c r="D2" s="470"/>
      <c r="E2" s="470"/>
      <c r="F2" s="470"/>
      <c r="G2" s="470"/>
      <c r="H2" s="470"/>
      <c r="I2" s="470"/>
      <c r="J2" s="470"/>
      <c r="K2" s="470"/>
      <c r="L2" s="470"/>
      <c r="M2" s="470"/>
      <c r="N2" s="470"/>
      <c r="O2" s="470"/>
      <c r="P2" s="470"/>
      <c r="Q2" s="470"/>
      <c r="R2" s="470"/>
      <c r="S2" s="470"/>
    </row>
    <row r="3" spans="2:23" s="231" customFormat="1" ht="15.75" customHeight="1">
      <c r="B3" s="461" t="s">
        <v>71</v>
      </c>
      <c r="C3" s="461"/>
      <c r="D3" s="461" t="str">
        <f>'入力表'!R37</f>
        <v>SM400A</v>
      </c>
      <c r="E3" s="461"/>
      <c r="F3" s="461"/>
      <c r="H3" s="229" t="s">
        <v>459</v>
      </c>
      <c r="I3" s="459">
        <f>'入力表'!D23</f>
        <v>210</v>
      </c>
      <c r="J3" s="459"/>
      <c r="K3" s="437" t="s">
        <v>362</v>
      </c>
      <c r="L3" s="437"/>
      <c r="N3" s="229" t="s">
        <v>460</v>
      </c>
      <c r="O3" s="459">
        <f>'入力表'!D24</f>
        <v>120</v>
      </c>
      <c r="P3" s="459"/>
      <c r="Q3" s="437" t="s">
        <v>362</v>
      </c>
      <c r="R3" s="437"/>
      <c r="S3" s="232"/>
      <c r="T3" s="232"/>
      <c r="U3" s="232"/>
      <c r="V3" s="232"/>
      <c r="W3" s="232"/>
    </row>
    <row r="4" spans="1:23" ht="15.75" customHeight="1">
      <c r="A4" s="256"/>
      <c r="B4" s="256"/>
      <c r="C4" s="256"/>
      <c r="D4" s="256"/>
      <c r="E4" s="256"/>
      <c r="F4" s="256"/>
      <c r="G4" s="256"/>
      <c r="H4" s="256"/>
      <c r="I4" s="256"/>
      <c r="J4" s="256"/>
      <c r="S4" s="256"/>
      <c r="T4" s="256"/>
      <c r="U4" s="256"/>
      <c r="V4" s="256"/>
      <c r="W4" s="256"/>
    </row>
    <row r="5" spans="1:23" ht="15.75" customHeight="1">
      <c r="A5" s="256"/>
      <c r="B5" s="256"/>
      <c r="C5" s="256"/>
      <c r="D5" s="256"/>
      <c r="E5" s="256"/>
      <c r="F5" s="256"/>
      <c r="G5" s="256"/>
      <c r="H5" s="256"/>
      <c r="I5" s="256"/>
      <c r="J5" s="256"/>
      <c r="S5" s="256"/>
      <c r="T5" s="256"/>
      <c r="U5" s="256"/>
      <c r="V5" s="256"/>
      <c r="W5" s="256"/>
    </row>
    <row r="6" spans="1:23" ht="15.75" customHeight="1">
      <c r="A6" s="256"/>
      <c r="B6" s="256"/>
      <c r="C6" s="256"/>
      <c r="D6" s="257"/>
      <c r="E6" s="256"/>
      <c r="F6" s="256"/>
      <c r="G6" s="256"/>
      <c r="H6" s="256"/>
      <c r="I6" s="256"/>
      <c r="J6" s="256"/>
      <c r="K6" s="256"/>
      <c r="S6" s="256"/>
      <c r="T6" s="256"/>
      <c r="U6" s="256"/>
      <c r="V6" s="256"/>
      <c r="W6" s="256"/>
    </row>
    <row r="7" spans="1:23" ht="15.75" customHeight="1">
      <c r="A7" s="256"/>
      <c r="B7" s="256"/>
      <c r="C7" s="256"/>
      <c r="D7" s="256"/>
      <c r="E7" s="256"/>
      <c r="F7" s="256"/>
      <c r="G7" s="256"/>
      <c r="H7" s="256"/>
      <c r="I7" s="256"/>
      <c r="J7" s="256"/>
      <c r="K7" s="256"/>
      <c r="U7" s="256"/>
      <c r="V7" s="256"/>
      <c r="W7" s="256"/>
    </row>
    <row r="8" spans="1:23" ht="15.75" customHeight="1">
      <c r="A8" s="256"/>
      <c r="B8" s="256"/>
      <c r="C8" s="256"/>
      <c r="D8" s="256"/>
      <c r="E8" s="256"/>
      <c r="F8" s="256"/>
      <c r="G8" s="256"/>
      <c r="H8" s="256"/>
      <c r="I8" s="256"/>
      <c r="J8" s="256"/>
      <c r="K8" s="256"/>
      <c r="P8" s="256"/>
      <c r="U8" s="256"/>
      <c r="V8" s="256"/>
      <c r="W8" s="256"/>
    </row>
    <row r="9" spans="1:23" ht="15.75" customHeight="1">
      <c r="A9" s="256"/>
      <c r="B9" s="258"/>
      <c r="C9" s="256"/>
      <c r="D9" s="256"/>
      <c r="E9" s="256"/>
      <c r="F9" s="256"/>
      <c r="G9" s="256"/>
      <c r="H9" s="256"/>
      <c r="I9" s="256"/>
      <c r="J9" s="256"/>
      <c r="K9" s="256"/>
      <c r="P9" s="256"/>
      <c r="U9" s="256"/>
      <c r="V9" s="256"/>
      <c r="W9" s="256"/>
    </row>
    <row r="10" spans="1:23" ht="15.75" customHeight="1">
      <c r="A10" s="256"/>
      <c r="B10" s="256"/>
      <c r="C10" s="256"/>
      <c r="D10" s="256"/>
      <c r="E10" s="256"/>
      <c r="F10" s="256"/>
      <c r="G10" s="256"/>
      <c r="H10" s="256"/>
      <c r="I10" s="256"/>
      <c r="J10" s="256"/>
      <c r="K10" s="256"/>
      <c r="P10" s="256"/>
      <c r="U10" s="256"/>
      <c r="V10" s="256"/>
      <c r="W10" s="256"/>
    </row>
    <row r="11" spans="1:23" ht="15.75" customHeight="1">
      <c r="A11" s="256"/>
      <c r="B11" s="256"/>
      <c r="C11" s="256"/>
      <c r="D11" s="256"/>
      <c r="E11" s="256"/>
      <c r="F11" s="256"/>
      <c r="G11" s="256"/>
      <c r="H11" s="256"/>
      <c r="I11" s="256"/>
      <c r="J11" s="256"/>
      <c r="K11" s="256"/>
      <c r="U11" s="256"/>
      <c r="V11" s="256"/>
      <c r="W11" s="256"/>
    </row>
    <row r="12" spans="1:23" ht="15.75" customHeight="1">
      <c r="A12" s="256"/>
      <c r="B12" s="256"/>
      <c r="C12" s="256"/>
      <c r="D12" s="256"/>
      <c r="E12" s="256"/>
      <c r="F12" s="256"/>
      <c r="G12" s="256"/>
      <c r="H12" s="256"/>
      <c r="I12" s="256"/>
      <c r="J12" s="256"/>
      <c r="K12" s="256"/>
      <c r="U12" s="256"/>
      <c r="V12" s="256"/>
      <c r="W12" s="256"/>
    </row>
    <row r="13" spans="1:23" ht="15.75" customHeight="1">
      <c r="A13" s="256"/>
      <c r="B13" s="256"/>
      <c r="C13" s="256"/>
      <c r="D13" s="256"/>
      <c r="E13" s="256"/>
      <c r="F13" s="256"/>
      <c r="G13" s="256"/>
      <c r="H13" s="256"/>
      <c r="I13" s="256"/>
      <c r="J13" s="256"/>
      <c r="K13" s="256"/>
      <c r="U13" s="256"/>
      <c r="V13" s="256"/>
      <c r="W13" s="256"/>
    </row>
    <row r="14" spans="1:23" ht="15.75" customHeight="1">
      <c r="A14" s="256"/>
      <c r="B14" s="256"/>
      <c r="C14" s="256"/>
      <c r="D14" s="256"/>
      <c r="E14" s="256"/>
      <c r="F14" s="256"/>
      <c r="G14" s="256"/>
      <c r="H14" s="256"/>
      <c r="I14" s="472"/>
      <c r="J14" s="472"/>
      <c r="K14" s="256"/>
      <c r="S14" s="256"/>
      <c r="T14" s="256"/>
      <c r="U14" s="256"/>
      <c r="V14" s="256"/>
      <c r="W14" s="256"/>
    </row>
    <row r="15" spans="1:23" ht="15.75" customHeight="1">
      <c r="A15" s="256"/>
      <c r="B15" s="256"/>
      <c r="C15" s="256"/>
      <c r="D15" s="256"/>
      <c r="E15" s="256"/>
      <c r="F15" s="256"/>
      <c r="G15" s="256"/>
      <c r="H15" s="256"/>
      <c r="I15" s="256"/>
      <c r="J15" s="256"/>
      <c r="K15" s="256"/>
      <c r="S15" s="256"/>
      <c r="T15" s="256"/>
      <c r="U15" s="256"/>
      <c r="V15" s="256"/>
      <c r="W15" s="256"/>
    </row>
    <row r="16" spans="1:23" s="231" customFormat="1" ht="15.75" customHeight="1">
      <c r="A16" s="232"/>
      <c r="C16" s="229" t="s">
        <v>27</v>
      </c>
      <c r="D16" s="466">
        <f>P*1000</f>
        <v>888000</v>
      </c>
      <c r="E16" s="466"/>
      <c r="F16" s="466"/>
      <c r="G16" s="232" t="s">
        <v>363</v>
      </c>
      <c r="H16" s="232"/>
      <c r="K16" s="229" t="s">
        <v>367</v>
      </c>
      <c r="L16" s="466">
        <f>WEB!N15</f>
        <v>22</v>
      </c>
      <c r="M16" s="466"/>
      <c r="N16" s="466"/>
      <c r="O16" s="232" t="s">
        <v>17</v>
      </c>
      <c r="Q16" s="232"/>
      <c r="R16" s="232"/>
      <c r="S16" s="232"/>
      <c r="T16" s="232"/>
      <c r="U16" s="232"/>
      <c r="V16" s="232"/>
      <c r="W16" s="232"/>
    </row>
    <row r="17" spans="1:19" s="231" customFormat="1" ht="15.75" customHeight="1">
      <c r="A17" s="232"/>
      <c r="C17" s="229" t="s">
        <v>364</v>
      </c>
      <c r="D17" s="466">
        <f>H</f>
        <v>350</v>
      </c>
      <c r="E17" s="466"/>
      <c r="F17" s="466"/>
      <c r="G17" s="232" t="s">
        <v>17</v>
      </c>
      <c r="H17" s="232"/>
      <c r="K17" s="229" t="s">
        <v>368</v>
      </c>
      <c r="L17" s="459">
        <f>'入力表'!D43</f>
        <v>80</v>
      </c>
      <c r="M17" s="459"/>
      <c r="N17" s="459"/>
      <c r="O17" s="232" t="s">
        <v>17</v>
      </c>
      <c r="S17" s="232"/>
    </row>
    <row r="18" spans="1:19" s="231" customFormat="1" ht="15.75" customHeight="1">
      <c r="A18" s="232"/>
      <c r="C18" s="229" t="s">
        <v>365</v>
      </c>
      <c r="D18" s="459">
        <f>'入力表'!D37</f>
        <v>214</v>
      </c>
      <c r="E18" s="459"/>
      <c r="F18" s="459"/>
      <c r="G18" s="232" t="s">
        <v>17</v>
      </c>
      <c r="H18" s="232"/>
      <c r="K18" s="229" t="s">
        <v>369</v>
      </c>
      <c r="L18" s="459">
        <f>'入力表'!D44</f>
        <v>22</v>
      </c>
      <c r="M18" s="459"/>
      <c r="N18" s="459"/>
      <c r="O18" s="232" t="s">
        <v>17</v>
      </c>
      <c r="Q18" s="232"/>
      <c r="S18" s="232"/>
    </row>
    <row r="19" spans="1:19" s="231" customFormat="1" ht="15.75" customHeight="1">
      <c r="A19" s="232"/>
      <c r="C19" s="229" t="s">
        <v>412</v>
      </c>
      <c r="D19" s="466">
        <f>'入力表'!D36</f>
        <v>180</v>
      </c>
      <c r="E19" s="466"/>
      <c r="F19" s="466"/>
      <c r="G19" s="232" t="s">
        <v>17</v>
      </c>
      <c r="H19" s="232"/>
      <c r="K19" s="229" t="s">
        <v>227</v>
      </c>
      <c r="L19" s="459">
        <f>D18/2+L16+L17+IF(B25=0,0,D20)</f>
        <v>209</v>
      </c>
      <c r="M19" s="459"/>
      <c r="N19" s="459"/>
      <c r="O19" s="232" t="s">
        <v>17</v>
      </c>
      <c r="Q19" s="232"/>
      <c r="S19" s="232"/>
    </row>
    <row r="20" spans="1:19" s="231" customFormat="1" ht="15.75" customHeight="1">
      <c r="A20" s="232"/>
      <c r="C20" s="229" t="s">
        <v>694</v>
      </c>
      <c r="D20" s="466">
        <f>'入力表'!D45</f>
        <v>0</v>
      </c>
      <c r="E20" s="466"/>
      <c r="F20" s="466"/>
      <c r="G20" s="232" t="s">
        <v>17</v>
      </c>
      <c r="H20" s="232" t="s">
        <v>698</v>
      </c>
      <c r="S20" s="232"/>
    </row>
    <row r="21" spans="1:23" s="231" customFormat="1" ht="15.75" customHeight="1">
      <c r="A21" s="232"/>
      <c r="F21" s="232"/>
      <c r="G21" s="232"/>
      <c r="H21" s="232"/>
      <c r="I21" s="232"/>
      <c r="J21" s="232"/>
      <c r="K21" s="232"/>
      <c r="S21" s="232"/>
      <c r="T21" s="232"/>
      <c r="U21" s="232"/>
      <c r="V21" s="232"/>
      <c r="W21" s="232"/>
    </row>
    <row r="22" spans="1:11" s="231" customFormat="1" ht="15.75" customHeight="1">
      <c r="A22" s="232"/>
      <c r="B22" s="232"/>
      <c r="C22" s="232"/>
      <c r="D22" s="232"/>
      <c r="E22" s="232"/>
      <c r="F22" s="232"/>
      <c r="G22" s="232"/>
      <c r="H22" s="232"/>
      <c r="I22" s="232"/>
      <c r="J22" s="232"/>
      <c r="K22" s="232"/>
    </row>
    <row r="23" spans="1:19" s="231" customFormat="1" ht="15.75" customHeight="1">
      <c r="A23" s="237"/>
      <c r="B23" s="154" t="s">
        <v>34</v>
      </c>
      <c r="C23" s="169" t="s">
        <v>35</v>
      </c>
      <c r="D23" s="169"/>
      <c r="E23" s="169" t="s">
        <v>36</v>
      </c>
      <c r="F23" s="169"/>
      <c r="G23" s="169" t="s">
        <v>370</v>
      </c>
      <c r="H23" s="169"/>
      <c r="I23" s="169" t="s">
        <v>371</v>
      </c>
      <c r="J23" s="222"/>
      <c r="K23" s="169" t="s">
        <v>372</v>
      </c>
      <c r="L23" s="222"/>
      <c r="M23" s="169"/>
      <c r="N23" s="169" t="s">
        <v>373</v>
      </c>
      <c r="O23" s="169"/>
      <c r="P23" s="169"/>
      <c r="Q23" s="169" t="s">
        <v>374</v>
      </c>
      <c r="R23" s="222"/>
      <c r="S23" s="222"/>
    </row>
    <row r="24" spans="1:19" s="231" customFormat="1" ht="15.75" customHeight="1">
      <c r="A24" s="237" t="s">
        <v>375</v>
      </c>
      <c r="B24" s="174">
        <v>2</v>
      </c>
      <c r="C24" s="248">
        <f>D19</f>
        <v>180</v>
      </c>
      <c r="D24" s="238"/>
      <c r="E24" s="238">
        <f>L16</f>
        <v>22</v>
      </c>
      <c r="F24" s="238"/>
      <c r="G24" s="459">
        <f>B24*C24*E24</f>
        <v>7920</v>
      </c>
      <c r="H24" s="459"/>
      <c r="I24" s="459">
        <f>D18/2+L16/2</f>
        <v>118</v>
      </c>
      <c r="J24" s="459"/>
      <c r="K24" s="459" t="s">
        <v>376</v>
      </c>
      <c r="L24" s="459"/>
      <c r="M24" s="459"/>
      <c r="N24" s="459">
        <f>G24*I24^2</f>
        <v>110278080</v>
      </c>
      <c r="O24" s="459"/>
      <c r="P24" s="459"/>
      <c r="Q24" s="459">
        <f>C24*E24^3/12*B24</f>
        <v>319440</v>
      </c>
      <c r="R24" s="459"/>
      <c r="S24" s="459"/>
    </row>
    <row r="25" spans="1:19" s="231" customFormat="1" ht="15.75" customHeight="1">
      <c r="A25" s="240" t="s">
        <v>377</v>
      </c>
      <c r="B25" s="241">
        <f>'入力表'!E43*2</f>
        <v>2</v>
      </c>
      <c r="C25" s="242">
        <f>L17</f>
        <v>80</v>
      </c>
      <c r="D25" s="243"/>
      <c r="E25" s="242">
        <f>L18</f>
        <v>22</v>
      </c>
      <c r="F25" s="243"/>
      <c r="G25" s="465">
        <f>B25*C25*E25</f>
        <v>3520</v>
      </c>
      <c r="H25" s="465"/>
      <c r="I25" s="465">
        <f>IF(B25=0,0,D18/2+L16+L17/2+D20)</f>
        <v>169</v>
      </c>
      <c r="J25" s="465"/>
      <c r="K25" s="465" t="s">
        <v>376</v>
      </c>
      <c r="L25" s="465"/>
      <c r="M25" s="465"/>
      <c r="N25" s="465">
        <f>G25*I25^2</f>
        <v>100534720</v>
      </c>
      <c r="O25" s="465"/>
      <c r="P25" s="465"/>
      <c r="Q25" s="465">
        <f>ROUND(E25*C25^3/12*B25,0)</f>
        <v>1877333</v>
      </c>
      <c r="R25" s="465"/>
      <c r="S25" s="465"/>
    </row>
    <row r="26" spans="1:19" s="231" customFormat="1" ht="15.75" customHeight="1">
      <c r="A26" s="237"/>
      <c r="B26" s="232"/>
      <c r="C26" s="232"/>
      <c r="D26" s="232"/>
      <c r="E26" s="232"/>
      <c r="F26" s="232"/>
      <c r="G26" s="467">
        <f>ROUND(SUM(G24:G25),1)</f>
        <v>11440</v>
      </c>
      <c r="H26" s="467"/>
      <c r="I26" s="238" t="s">
        <v>40</v>
      </c>
      <c r="J26" s="238"/>
      <c r="K26" s="464" t="s">
        <v>376</v>
      </c>
      <c r="L26" s="464"/>
      <c r="M26" s="464"/>
      <c r="N26" s="459">
        <f>ROUND(SUM(N24:N25),0)</f>
        <v>210812800</v>
      </c>
      <c r="O26" s="459"/>
      <c r="P26" s="459"/>
      <c r="Q26" s="464">
        <f>SUM(Q24:S25)</f>
        <v>2196773</v>
      </c>
      <c r="R26" s="464"/>
      <c r="S26" s="464"/>
    </row>
    <row r="27" spans="1:14" s="231" customFormat="1" ht="15.75" customHeight="1">
      <c r="A27" s="232"/>
      <c r="B27" s="232"/>
      <c r="C27" s="232"/>
      <c r="D27" s="232"/>
      <c r="E27" s="232"/>
      <c r="F27" s="232"/>
      <c r="G27" s="232"/>
      <c r="H27" s="232"/>
      <c r="I27" s="232"/>
      <c r="J27" s="232"/>
      <c r="K27" s="232"/>
      <c r="N27" s="238"/>
    </row>
    <row r="28" spans="1:14" s="231" customFormat="1" ht="15.75" customHeight="1">
      <c r="A28" s="232"/>
      <c r="B28" s="232"/>
      <c r="C28" s="232"/>
      <c r="D28" s="232"/>
      <c r="E28" s="232"/>
      <c r="F28" s="232"/>
      <c r="G28" s="232"/>
      <c r="H28" s="232"/>
      <c r="I28" s="232"/>
      <c r="J28" s="232"/>
      <c r="K28" s="232"/>
      <c r="N28" s="238"/>
    </row>
    <row r="29" spans="1:23" s="231" customFormat="1" ht="15.75" customHeight="1">
      <c r="A29" s="232"/>
      <c r="B29" s="229" t="s">
        <v>325</v>
      </c>
      <c r="C29" s="461" t="s">
        <v>228</v>
      </c>
      <c r="D29" s="461"/>
      <c r="E29" s="461"/>
      <c r="F29" s="174" t="s">
        <v>5</v>
      </c>
      <c r="G29" s="461">
        <f>D16*SIN(30*PI()/180)</f>
        <v>443999.99999999994</v>
      </c>
      <c r="H29" s="461"/>
      <c r="I29" s="461"/>
      <c r="J29" s="232" t="s">
        <v>363</v>
      </c>
      <c r="K29" s="232"/>
      <c r="U29" s="232"/>
      <c r="V29" s="232"/>
      <c r="W29" s="232"/>
    </row>
    <row r="30" spans="1:23" s="231" customFormat="1" ht="15.75" customHeight="1">
      <c r="A30" s="232"/>
      <c r="G30" s="232"/>
      <c r="H30" s="232"/>
      <c r="I30" s="232"/>
      <c r="J30" s="232"/>
      <c r="K30" s="232"/>
      <c r="L30" s="232"/>
      <c r="S30" s="232"/>
      <c r="T30" s="232"/>
      <c r="U30" s="232"/>
      <c r="V30" s="232"/>
      <c r="W30" s="232"/>
    </row>
    <row r="31" spans="1:23" s="231" customFormat="1" ht="15.75" customHeight="1">
      <c r="A31" s="232"/>
      <c r="B31" s="229" t="s">
        <v>44</v>
      </c>
      <c r="C31" s="461" t="s">
        <v>378</v>
      </c>
      <c r="D31" s="461"/>
      <c r="E31" s="461"/>
      <c r="F31" s="229" t="s">
        <v>5</v>
      </c>
      <c r="G31" s="461">
        <f>G29*D17</f>
        <v>155399999.99999997</v>
      </c>
      <c r="H31" s="461"/>
      <c r="I31" s="461"/>
      <c r="J31" s="232" t="s">
        <v>379</v>
      </c>
      <c r="K31" s="232"/>
      <c r="M31" s="232"/>
      <c r="N31" s="232"/>
      <c r="O31" s="232"/>
      <c r="P31" s="232"/>
      <c r="Q31" s="232"/>
      <c r="S31" s="232"/>
      <c r="T31" s="232"/>
      <c r="U31" s="232"/>
      <c r="V31" s="232"/>
      <c r="W31" s="232"/>
    </row>
    <row r="32" spans="1:23" s="231" customFormat="1" ht="15.75" customHeight="1">
      <c r="A32" s="232"/>
      <c r="G32" s="232"/>
      <c r="H32" s="232"/>
      <c r="I32" s="232"/>
      <c r="J32" s="232"/>
      <c r="K32" s="232"/>
      <c r="S32" s="232"/>
      <c r="T32" s="232"/>
      <c r="U32" s="232"/>
      <c r="V32" s="232"/>
      <c r="W32" s="232"/>
    </row>
    <row r="33" spans="1:22" s="231" customFormat="1" ht="15.75" customHeight="1">
      <c r="A33" s="232"/>
      <c r="B33" s="229" t="s">
        <v>51</v>
      </c>
      <c r="C33" s="461" t="s">
        <v>326</v>
      </c>
      <c r="D33" s="461"/>
      <c r="E33" s="236" t="s">
        <v>5</v>
      </c>
      <c r="F33" s="474">
        <f>G29</f>
        <v>443999.99999999994</v>
      </c>
      <c r="G33" s="474"/>
      <c r="H33" s="474"/>
      <c r="I33" s="232" t="s">
        <v>363</v>
      </c>
      <c r="J33" s="232"/>
      <c r="R33" s="232"/>
      <c r="S33" s="232"/>
      <c r="T33" s="232"/>
      <c r="U33" s="232"/>
      <c r="V33" s="232"/>
    </row>
    <row r="34" spans="1:11" s="231" customFormat="1" ht="15.75" customHeight="1">
      <c r="A34" s="232"/>
      <c r="G34" s="232"/>
      <c r="H34" s="232"/>
      <c r="I34" s="232"/>
      <c r="J34" s="232"/>
      <c r="K34" s="232"/>
    </row>
    <row r="35" spans="1:16" s="231" customFormat="1" ht="15.75" customHeight="1">
      <c r="A35" s="232"/>
      <c r="B35" s="229" t="s">
        <v>42</v>
      </c>
      <c r="C35" s="459">
        <f>N26</f>
        <v>210812800</v>
      </c>
      <c r="D35" s="459"/>
      <c r="E35" s="459"/>
      <c r="F35" s="174" t="s">
        <v>43</v>
      </c>
      <c r="G35" s="459">
        <f>Q26</f>
        <v>2196773</v>
      </c>
      <c r="H35" s="459"/>
      <c r="I35" s="459"/>
      <c r="J35" s="229" t="s">
        <v>5</v>
      </c>
      <c r="K35" s="459">
        <f>C35+G35</f>
        <v>213009573</v>
      </c>
      <c r="L35" s="459"/>
      <c r="M35" s="459"/>
      <c r="N35" s="245"/>
      <c r="O35" s="238"/>
      <c r="P35" s="244"/>
    </row>
    <row r="36" spans="1:11" s="231" customFormat="1" ht="15.75" customHeight="1">
      <c r="A36" s="232"/>
      <c r="E36" s="232"/>
      <c r="F36" s="174"/>
      <c r="G36" s="232"/>
      <c r="H36" s="232"/>
      <c r="I36" s="232"/>
      <c r="J36" s="232"/>
      <c r="K36" s="232"/>
    </row>
    <row r="37" spans="1:13" s="231" customFormat="1" ht="15.75" customHeight="1">
      <c r="A37" s="232"/>
      <c r="B37" s="229" t="s">
        <v>225</v>
      </c>
      <c r="C37" s="473">
        <f>G31</f>
        <v>155399999.99999997</v>
      </c>
      <c r="D37" s="473"/>
      <c r="E37" s="473"/>
      <c r="F37" s="174" t="s">
        <v>6</v>
      </c>
      <c r="G37" s="459">
        <f>K35</f>
        <v>213009573</v>
      </c>
      <c r="H37" s="459"/>
      <c r="I37" s="459"/>
      <c r="J37" s="174" t="s">
        <v>15</v>
      </c>
      <c r="K37" s="468">
        <f>L19</f>
        <v>209</v>
      </c>
      <c r="L37" s="468"/>
      <c r="M37" s="232"/>
    </row>
    <row r="38" spans="1:18" s="231" customFormat="1" ht="15.75" customHeight="1">
      <c r="A38" s="232"/>
      <c r="B38" s="229" t="s">
        <v>5</v>
      </c>
      <c r="C38" s="459">
        <f>G31/K35*K37</f>
        <v>152.47483736329536</v>
      </c>
      <c r="D38" s="459"/>
      <c r="E38" s="232"/>
      <c r="F38" s="232"/>
      <c r="G38" s="232"/>
      <c r="H38" s="232"/>
      <c r="I38" s="174" t="s">
        <v>46</v>
      </c>
      <c r="J38" s="248">
        <f>I3</f>
        <v>210</v>
      </c>
      <c r="K38" s="249"/>
      <c r="L38" s="437" t="s">
        <v>362</v>
      </c>
      <c r="M38" s="437"/>
      <c r="N38" s="232"/>
      <c r="O38" s="250" t="str">
        <f>IF(C38&lt;J38,"ＯＫ","ＮＧ")</f>
        <v>ＯＫ</v>
      </c>
      <c r="P38" s="249"/>
      <c r="Q38" s="232"/>
      <c r="R38" s="232"/>
    </row>
    <row r="39" spans="1:18" s="231" customFormat="1" ht="15.75" customHeight="1">
      <c r="A39" s="232"/>
      <c r="B39" s="229"/>
      <c r="C39" s="259"/>
      <c r="D39" s="174"/>
      <c r="E39" s="232"/>
      <c r="F39" s="174"/>
      <c r="G39" s="232"/>
      <c r="H39" s="260"/>
      <c r="I39" s="232"/>
      <c r="Q39" s="232"/>
      <c r="R39" s="232"/>
    </row>
    <row r="40" spans="1:19" s="231" customFormat="1" ht="15.75" customHeight="1">
      <c r="A40" s="232"/>
      <c r="B40" s="229" t="s">
        <v>461</v>
      </c>
      <c r="C40" s="461">
        <f>F33</f>
        <v>443999.99999999994</v>
      </c>
      <c r="D40" s="461"/>
      <c r="E40" s="461"/>
      <c r="F40" s="174" t="s">
        <v>6</v>
      </c>
      <c r="G40" s="459">
        <f>G26</f>
        <v>11440</v>
      </c>
      <c r="H40" s="459"/>
      <c r="I40" s="459"/>
      <c r="J40" s="232"/>
      <c r="R40" s="232"/>
      <c r="S40" s="232"/>
    </row>
    <row r="41" spans="1:18" s="231" customFormat="1" ht="15.75" customHeight="1">
      <c r="A41" s="232"/>
      <c r="B41" s="229" t="s">
        <v>5</v>
      </c>
      <c r="C41" s="459">
        <f>ROUND(C40/G40,0)</f>
        <v>39</v>
      </c>
      <c r="D41" s="459"/>
      <c r="E41" s="232"/>
      <c r="F41" s="232"/>
      <c r="G41" s="232"/>
      <c r="H41" s="232"/>
      <c r="I41" s="174" t="s">
        <v>46</v>
      </c>
      <c r="J41" s="248">
        <f>O3</f>
        <v>120</v>
      </c>
      <c r="K41" s="238"/>
      <c r="L41" s="437" t="s">
        <v>362</v>
      </c>
      <c r="M41" s="437"/>
      <c r="O41" s="250" t="str">
        <f>IF(C41&lt;J41,"ＯＫ","ＮＧ")</f>
        <v>ＯＫ</v>
      </c>
      <c r="P41" s="238"/>
      <c r="Q41" s="232"/>
      <c r="R41" s="232"/>
    </row>
    <row r="42" spans="1:18" s="231" customFormat="1" ht="15.75" customHeight="1">
      <c r="A42" s="232"/>
      <c r="B42" s="229"/>
      <c r="C42" s="232"/>
      <c r="D42" s="174"/>
      <c r="E42" s="232"/>
      <c r="F42" s="232"/>
      <c r="G42" s="229"/>
      <c r="H42" s="238"/>
      <c r="I42" s="238"/>
      <c r="J42" s="232"/>
      <c r="K42" s="232"/>
      <c r="M42" s="232"/>
      <c r="N42" s="249"/>
      <c r="O42" s="232"/>
      <c r="P42" s="232"/>
      <c r="Q42" s="232"/>
      <c r="R42" s="232"/>
    </row>
    <row r="43" spans="2:16" s="231" customFormat="1" ht="15.75" customHeight="1">
      <c r="B43" s="229" t="s">
        <v>380</v>
      </c>
      <c r="C43" s="462" t="s">
        <v>464</v>
      </c>
      <c r="D43" s="462"/>
      <c r="E43" s="462"/>
      <c r="F43" s="462"/>
      <c r="G43" s="462"/>
      <c r="H43" s="462"/>
      <c r="I43" s="462"/>
      <c r="J43" s="463">
        <f>(C38/J38)^2+(C41/J41)^2</f>
        <v>0.6328035947610742</v>
      </c>
      <c r="K43" s="463"/>
      <c r="L43" s="174" t="s">
        <v>46</v>
      </c>
      <c r="M43" s="232">
        <v>1.2</v>
      </c>
      <c r="N43" s="232"/>
      <c r="O43" s="458" t="str">
        <f>IF(J43&lt;M43,"ＯＫ","ＮＧ")</f>
        <v>ＯＫ</v>
      </c>
      <c r="P43" s="458"/>
    </row>
    <row r="44" s="231" customFormat="1" ht="15.75" customHeight="1"/>
    <row r="45" s="231" customFormat="1" ht="15.75" customHeight="1"/>
    <row r="46" s="231" customFormat="1" ht="15.75" customHeight="1"/>
    <row r="47" s="231" customFormat="1" ht="15.75" customHeight="1"/>
    <row r="48" s="231" customFormat="1" ht="15.75" customHeight="1"/>
  </sheetData>
  <sheetProtection sheet="1" objects="1" scenarios="1"/>
  <mergeCells count="52">
    <mergeCell ref="C43:I43"/>
    <mergeCell ref="J43:K43"/>
    <mergeCell ref="O43:P43"/>
    <mergeCell ref="L41:M41"/>
    <mergeCell ref="K37:L37"/>
    <mergeCell ref="C38:D38"/>
    <mergeCell ref="G37:I37"/>
    <mergeCell ref="C41:D41"/>
    <mergeCell ref="L38:M38"/>
    <mergeCell ref="C40:E40"/>
    <mergeCell ref="G40:I40"/>
    <mergeCell ref="C37:E37"/>
    <mergeCell ref="K35:M35"/>
    <mergeCell ref="C29:E29"/>
    <mergeCell ref="G29:I29"/>
    <mergeCell ref="C31:E31"/>
    <mergeCell ref="G31:I31"/>
    <mergeCell ref="C33:D33"/>
    <mergeCell ref="F33:H33"/>
    <mergeCell ref="C35:E35"/>
    <mergeCell ref="G35:I35"/>
    <mergeCell ref="Q24:S24"/>
    <mergeCell ref="K24:M24"/>
    <mergeCell ref="K25:M25"/>
    <mergeCell ref="K26:M26"/>
    <mergeCell ref="N25:P25"/>
    <mergeCell ref="Q25:S25"/>
    <mergeCell ref="N26:P26"/>
    <mergeCell ref="Q26:S26"/>
    <mergeCell ref="N24:P24"/>
    <mergeCell ref="L16:N16"/>
    <mergeCell ref="L18:N18"/>
    <mergeCell ref="L17:N17"/>
    <mergeCell ref="L19:N19"/>
    <mergeCell ref="D16:F16"/>
    <mergeCell ref="D18:F18"/>
    <mergeCell ref="D17:F17"/>
    <mergeCell ref="D19:F19"/>
    <mergeCell ref="B2:S2"/>
    <mergeCell ref="Q3:R3"/>
    <mergeCell ref="K3:L3"/>
    <mergeCell ref="I14:J14"/>
    <mergeCell ref="I3:J3"/>
    <mergeCell ref="O3:P3"/>
    <mergeCell ref="B3:C3"/>
    <mergeCell ref="D3:F3"/>
    <mergeCell ref="D20:F20"/>
    <mergeCell ref="G24:H24"/>
    <mergeCell ref="G25:H25"/>
    <mergeCell ref="G26:H26"/>
    <mergeCell ref="I24:J24"/>
    <mergeCell ref="I25:J25"/>
  </mergeCells>
  <printOptions/>
  <pageMargins left="0.984251968503937" right="0.7874015748031497" top="0.7874015748031497" bottom="0.7874015748031497" header="0.5118110236220472" footer="0.5118110236220472"/>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L146"/>
  <sheetViews>
    <sheetView view="pageBreakPreview" zoomScaleSheetLayoutView="100" zoomScalePageLayoutView="0" workbookViewId="0" topLeftCell="A1">
      <selection activeCell="H8" sqref="H8"/>
    </sheetView>
  </sheetViews>
  <sheetFormatPr defaultColWidth="9.00390625" defaultRowHeight="13.5"/>
  <cols>
    <col min="1" max="16384" width="9.00390625" style="55" customWidth="1"/>
  </cols>
  <sheetData>
    <row r="1" ht="13.5">
      <c r="A1" s="55" t="s">
        <v>529</v>
      </c>
    </row>
    <row r="2" spans="2:9" ht="13.5">
      <c r="B2" s="482" t="str">
        <f>"取付ボルトは高力ボルト"&amp;'入力表'!I2&amp;"とし、ボルト群の中立軸の両側に２列以上配置する。このとき、ボルトの許容力としては、割り増し係数 "&amp;'入力表'!D22&amp;" を考慮する。"</f>
        <v>取付ボルトは高力ボルトS10T,M22とし、ボルト群の中立軸の両側に２列以上配置する。このとき、ボルトの許容力としては、割り増し係数 1.5 を考慮する。</v>
      </c>
      <c r="C2" s="482"/>
      <c r="D2" s="482"/>
      <c r="E2" s="482"/>
      <c r="F2" s="482"/>
      <c r="G2" s="482"/>
      <c r="H2" s="482"/>
      <c r="I2" s="482"/>
    </row>
    <row r="3" spans="2:9" ht="13.5">
      <c r="B3" s="482"/>
      <c r="C3" s="482"/>
      <c r="D3" s="482"/>
      <c r="E3" s="482"/>
      <c r="F3" s="482"/>
      <c r="G3" s="482"/>
      <c r="H3" s="482"/>
      <c r="I3" s="482"/>
    </row>
    <row r="4" spans="2:9" ht="13.5">
      <c r="B4" s="482"/>
      <c r="C4" s="482"/>
      <c r="D4" s="482"/>
      <c r="E4" s="482"/>
      <c r="F4" s="482"/>
      <c r="G4" s="482"/>
      <c r="H4" s="482"/>
      <c r="I4" s="482"/>
    </row>
    <row r="6" ht="13.5">
      <c r="A6" s="55" t="s">
        <v>530</v>
      </c>
    </row>
    <row r="7" ht="13.5">
      <c r="B7" s="55" t="s">
        <v>531</v>
      </c>
    </row>
    <row r="9" spans="1:2" ht="16.5">
      <c r="A9" s="302" t="s">
        <v>532</v>
      </c>
      <c r="B9" s="55" t="s">
        <v>533</v>
      </c>
    </row>
    <row r="10" spans="1:4" ht="13.5">
      <c r="A10" s="302" t="s">
        <v>534</v>
      </c>
      <c r="B10" s="55">
        <f>P*1000</f>
        <v>888000</v>
      </c>
      <c r="C10" s="303" t="s">
        <v>535</v>
      </c>
      <c r="D10" s="55">
        <f>'入力表'!G20</f>
        <v>16</v>
      </c>
    </row>
    <row r="11" spans="1:9" ht="13.5">
      <c r="A11" s="302" t="s">
        <v>534</v>
      </c>
      <c r="B11" s="304">
        <f>B10/D10</f>
        <v>55500</v>
      </c>
      <c r="C11" s="55" t="s">
        <v>536</v>
      </c>
      <c r="D11" s="305" t="s">
        <v>537</v>
      </c>
      <c r="E11" s="306" t="str">
        <f>"ρａ＝ "&amp;'入力表'!D22&amp;"×"&amp;'入力表'!I26&amp;"000 ＝"</f>
        <v>ρａ＝ 1.5×48000 ＝</v>
      </c>
      <c r="G11" s="55">
        <f>'入力表'!I26*1000*'入力表'!D22</f>
        <v>72000</v>
      </c>
      <c r="H11" s="55" t="s">
        <v>536</v>
      </c>
      <c r="I11" s="250" t="str">
        <f>IF(B11&lt;G11,"ＯＫ","ＮＧ")</f>
        <v>ＯＫ</v>
      </c>
    </row>
    <row r="12" ht="13.5">
      <c r="L12" s="306"/>
    </row>
    <row r="13" spans="2:3" ht="13.5">
      <c r="B13" s="302" t="s">
        <v>538</v>
      </c>
      <c r="C13" s="55" t="s">
        <v>539</v>
      </c>
    </row>
    <row r="14" spans="2:3" ht="13.5">
      <c r="B14" s="302" t="s">
        <v>540</v>
      </c>
      <c r="C14" s="55" t="s">
        <v>434</v>
      </c>
    </row>
    <row r="17" ht="13.5">
      <c r="A17" s="55" t="s">
        <v>541</v>
      </c>
    </row>
    <row r="18" spans="2:9" ht="13.5">
      <c r="B18" s="482" t="s">
        <v>542</v>
      </c>
      <c r="C18" s="482"/>
      <c r="D18" s="482"/>
      <c r="E18" s="482"/>
      <c r="F18" s="482"/>
      <c r="G18" s="482"/>
      <c r="H18" s="482"/>
      <c r="I18" s="482"/>
    </row>
    <row r="19" spans="2:9" ht="13.5">
      <c r="B19" s="482"/>
      <c r="C19" s="482"/>
      <c r="D19" s="482"/>
      <c r="E19" s="482"/>
      <c r="F19" s="482"/>
      <c r="G19" s="482"/>
      <c r="H19" s="482"/>
      <c r="I19" s="482"/>
    </row>
    <row r="20" spans="2:9" ht="13.5">
      <c r="B20" s="482"/>
      <c r="C20" s="482"/>
      <c r="D20" s="482"/>
      <c r="E20" s="482"/>
      <c r="F20" s="482"/>
      <c r="G20" s="482"/>
      <c r="H20" s="482"/>
      <c r="I20" s="482"/>
    </row>
    <row r="21" spans="2:9" ht="13.5">
      <c r="B21" s="482"/>
      <c r="C21" s="482"/>
      <c r="D21" s="482"/>
      <c r="E21" s="482"/>
      <c r="F21" s="482"/>
      <c r="G21" s="482"/>
      <c r="H21" s="482"/>
      <c r="I21" s="482"/>
    </row>
    <row r="22" spans="2:9" ht="13.5">
      <c r="B22" s="482"/>
      <c r="C22" s="482"/>
      <c r="D22" s="482"/>
      <c r="E22" s="482"/>
      <c r="F22" s="482"/>
      <c r="G22" s="482"/>
      <c r="H22" s="482"/>
      <c r="I22" s="482"/>
    </row>
    <row r="23" spans="2:9" ht="13.5">
      <c r="B23" s="300"/>
      <c r="C23" s="300"/>
      <c r="D23" s="300"/>
      <c r="E23" s="300"/>
      <c r="F23" s="300"/>
      <c r="G23" s="300"/>
      <c r="H23" s="300"/>
      <c r="I23" s="300"/>
    </row>
    <row r="24" spans="2:9" ht="13.5">
      <c r="B24" s="479" t="s">
        <v>543</v>
      </c>
      <c r="C24" s="479" t="s">
        <v>544</v>
      </c>
      <c r="D24" s="479" t="s">
        <v>545</v>
      </c>
      <c r="E24" s="479"/>
      <c r="F24" s="483" t="s">
        <v>546</v>
      </c>
      <c r="G24" s="483"/>
      <c r="H24" s="483" t="s">
        <v>547</v>
      </c>
      <c r="I24" s="483"/>
    </row>
    <row r="25" spans="2:9" ht="13.5">
      <c r="B25" s="479"/>
      <c r="C25" s="479"/>
      <c r="D25" s="479"/>
      <c r="E25" s="479"/>
      <c r="F25" s="483"/>
      <c r="G25" s="483"/>
      <c r="H25" s="483"/>
      <c r="I25" s="483"/>
    </row>
    <row r="26" spans="2:9" ht="13.5">
      <c r="B26" s="307">
        <f>IF('入力表'!F5&gt;0,'入力表'!G5,-1)</f>
        <v>4</v>
      </c>
      <c r="C26" s="307">
        <f>'入力表'!H5</f>
        <v>50</v>
      </c>
      <c r="D26" s="479">
        <f>IF('入力表'!F5&gt;0,'入力表'!I5,-1)</f>
        <v>200</v>
      </c>
      <c r="E26" s="479"/>
      <c r="F26" s="479">
        <f>IF('入力表'!F5&gt;0,'入力表'!J5,-1)</f>
        <v>297.5</v>
      </c>
      <c r="G26" s="479"/>
      <c r="H26" s="478">
        <f>IF('入力表'!F5&gt;0,'入力表'!K5,-1)</f>
        <v>354025</v>
      </c>
      <c r="I26" s="478"/>
    </row>
    <row r="27" spans="2:9" ht="13.5">
      <c r="B27" s="307">
        <f>IF('入力表'!F6&gt;0,'入力表'!G6,-1)</f>
        <v>2</v>
      </c>
      <c r="C27" s="307">
        <f>'入力表'!H6</f>
        <v>130</v>
      </c>
      <c r="D27" s="479">
        <f>IF('入力表'!F6&gt;0,'入力表'!I6,-1)</f>
        <v>260</v>
      </c>
      <c r="E27" s="479"/>
      <c r="F27" s="479">
        <f>IF('入力表'!F6&gt;0,'入力表'!J6,-1)</f>
        <v>217.5</v>
      </c>
      <c r="G27" s="479"/>
      <c r="H27" s="478">
        <f>IF('入力表'!F6&gt;0,'入力表'!K6,-1)</f>
        <v>94612.5</v>
      </c>
      <c r="I27" s="478"/>
    </row>
    <row r="28" spans="2:9" ht="13.5">
      <c r="B28" s="307">
        <f>IF('入力表'!F7&gt;0,'入力表'!G7,-1)</f>
        <v>2</v>
      </c>
      <c r="C28" s="307">
        <f>'入力表'!H7</f>
        <v>250</v>
      </c>
      <c r="D28" s="479">
        <f>IF('入力表'!F7&gt;0,'入力表'!I7,-1)</f>
        <v>500</v>
      </c>
      <c r="E28" s="479"/>
      <c r="F28" s="479">
        <f>IF('入力表'!F7&gt;0,'入力表'!J7,-1)</f>
        <v>97.5</v>
      </c>
      <c r="G28" s="479"/>
      <c r="H28" s="478">
        <f>IF('入力表'!F7&gt;0,'入力表'!K7,-1)</f>
        <v>19012.5</v>
      </c>
      <c r="I28" s="478"/>
    </row>
    <row r="29" spans="2:9" ht="13.5">
      <c r="B29" s="307">
        <f>IF('入力表'!F8&gt;0,'入力表'!G8,-1)</f>
        <v>0</v>
      </c>
      <c r="C29" s="307">
        <f>'入力表'!H8</f>
        <v>350</v>
      </c>
      <c r="D29" s="479">
        <f>IF('入力表'!F8&gt;0,'入力表'!I8,-1)</f>
        <v>0</v>
      </c>
      <c r="E29" s="479"/>
      <c r="F29" s="479">
        <f>IF('入力表'!F8&gt;0,'入力表'!J8,-1)</f>
        <v>0</v>
      </c>
      <c r="G29" s="479"/>
      <c r="H29" s="478">
        <f>IF('入力表'!F8&gt;0,'入力表'!K8,-1)</f>
        <v>0</v>
      </c>
      <c r="I29" s="478"/>
    </row>
    <row r="30" spans="2:9" ht="13.5">
      <c r="B30" s="307">
        <f>IF('入力表'!F9&gt;0,'入力表'!G9,-1)</f>
        <v>2</v>
      </c>
      <c r="C30" s="307">
        <f>'入力表'!H9</f>
        <v>450</v>
      </c>
      <c r="D30" s="479">
        <f>IF('入力表'!F9&gt;0,'入力表'!I9,-1)</f>
        <v>900</v>
      </c>
      <c r="E30" s="479"/>
      <c r="F30" s="479">
        <f>IF('入力表'!F9&gt;0,'入力表'!J9,-1)</f>
        <v>-102.5</v>
      </c>
      <c r="G30" s="479"/>
      <c r="H30" s="478">
        <f>IF('入力表'!F9&gt;0,'入力表'!K9,-1)</f>
        <v>21012.5</v>
      </c>
      <c r="I30" s="478"/>
    </row>
    <row r="31" spans="2:9" ht="13.5">
      <c r="B31" s="307">
        <f>IF('入力表'!F10&gt;0,'入力表'!G10,-1)</f>
        <v>2</v>
      </c>
      <c r="C31" s="307">
        <f>'入力表'!H10</f>
        <v>550</v>
      </c>
      <c r="D31" s="479">
        <f>IF('入力表'!F10&gt;0,'入力表'!I10,-1)</f>
        <v>1100</v>
      </c>
      <c r="E31" s="479"/>
      <c r="F31" s="479">
        <f>IF('入力表'!F10&gt;0,'入力表'!J10,-1)</f>
        <v>-202.5</v>
      </c>
      <c r="G31" s="479"/>
      <c r="H31" s="478">
        <f>IF('入力表'!F10&gt;0,'入力表'!K10,-1)</f>
        <v>82012.5</v>
      </c>
      <c r="I31" s="478"/>
    </row>
    <row r="32" spans="2:9" ht="13.5">
      <c r="B32" s="307">
        <f>IF('入力表'!F11&gt;0,'入力表'!G11,-1)</f>
        <v>4</v>
      </c>
      <c r="C32" s="307">
        <f>'入力表'!H11</f>
        <v>650</v>
      </c>
      <c r="D32" s="479">
        <f>IF('入力表'!F11&gt;0,'入力表'!I11,-1)</f>
        <v>2600</v>
      </c>
      <c r="E32" s="479"/>
      <c r="F32" s="479">
        <f>IF('入力表'!F11&gt;0,'入力表'!J11,-1)</f>
        <v>-302.5</v>
      </c>
      <c r="G32" s="479"/>
      <c r="H32" s="478">
        <f>IF('入力表'!F11&gt;0,'入力表'!K11,-1)</f>
        <v>366025</v>
      </c>
      <c r="I32" s="478"/>
    </row>
    <row r="33" spans="2:9" ht="13.5" customHeight="1">
      <c r="B33" s="307">
        <f>IF('入力表'!F12&gt;0,'入力表'!G12,-1)</f>
        <v>-1</v>
      </c>
      <c r="C33" s="307">
        <f>'入力表'!H12</f>
        <v>650</v>
      </c>
      <c r="D33" s="479">
        <f>IF('入力表'!F12&gt;0,'入力表'!I12,-1)</f>
        <v>-1</v>
      </c>
      <c r="E33" s="479"/>
      <c r="F33" s="479">
        <f>IF('入力表'!F12&gt;0,'入力表'!J12,-1)</f>
        <v>-1</v>
      </c>
      <c r="G33" s="479"/>
      <c r="H33" s="478">
        <f>IF('入力表'!F12&gt;0,'入力表'!K12,-1)</f>
        <v>-1</v>
      </c>
      <c r="I33" s="478"/>
    </row>
    <row r="34" spans="2:9" ht="13.5">
      <c r="B34" s="307">
        <f>IF('入力表'!F13&gt;0,'入力表'!G13,-1)</f>
        <v>-1</v>
      </c>
      <c r="C34" s="307">
        <f>'入力表'!H13</f>
        <v>650</v>
      </c>
      <c r="D34" s="479">
        <f>IF('入力表'!F13&gt;0,'入力表'!I13,-1)</f>
        <v>-1</v>
      </c>
      <c r="E34" s="479"/>
      <c r="F34" s="479">
        <f>IF('入力表'!F13&gt;0,'入力表'!J13,-1)</f>
        <v>-1</v>
      </c>
      <c r="G34" s="479"/>
      <c r="H34" s="478">
        <f>IF('入力表'!F13&gt;0,'入力表'!K13,-1)</f>
        <v>-1</v>
      </c>
      <c r="I34" s="478"/>
    </row>
    <row r="35" spans="2:9" ht="13.5">
      <c r="B35" s="307">
        <f>IF('入力表'!F14&gt;0,'入力表'!G14,-1)</f>
        <v>-1</v>
      </c>
      <c r="C35" s="307">
        <f>'入力表'!H14</f>
        <v>650</v>
      </c>
      <c r="D35" s="479">
        <f>IF('入力表'!F14&gt;0,'入力表'!I14,-1)</f>
        <v>-1</v>
      </c>
      <c r="E35" s="479"/>
      <c r="F35" s="479">
        <f>IF('入力表'!F14&gt;0,'入力表'!J14,-1)</f>
        <v>-1</v>
      </c>
      <c r="G35" s="479"/>
      <c r="H35" s="478">
        <f>IF('入力表'!F14&gt;0,'入力表'!K14,-1)</f>
        <v>-1</v>
      </c>
      <c r="I35" s="478"/>
    </row>
    <row r="36" spans="2:9" ht="13.5">
      <c r="B36" s="307">
        <f>IF('入力表'!F15&gt;0,'入力表'!G15,-1)</f>
        <v>-1</v>
      </c>
      <c r="C36" s="307">
        <f>'入力表'!H15</f>
        <v>650</v>
      </c>
      <c r="D36" s="479">
        <f>IF('入力表'!F15&gt;0,'入力表'!I15,-1)</f>
        <v>-1</v>
      </c>
      <c r="E36" s="479"/>
      <c r="F36" s="479">
        <f>IF('入力表'!F15&gt;0,'入力表'!J15,-1)</f>
        <v>-1</v>
      </c>
      <c r="G36" s="479"/>
      <c r="H36" s="478">
        <f>IF('入力表'!F15&gt;0,'入力表'!K15,-1)</f>
        <v>-1</v>
      </c>
      <c r="I36" s="478"/>
    </row>
    <row r="37" spans="2:9" ht="13.5">
      <c r="B37" s="307">
        <f>IF('入力表'!F16&gt;0,'入力表'!G16,-1)</f>
        <v>-1</v>
      </c>
      <c r="C37" s="307">
        <f>'入力表'!H16</f>
        <v>650</v>
      </c>
      <c r="D37" s="479">
        <f>IF('入力表'!F16&gt;0,'入力表'!I16,-1)</f>
        <v>-1</v>
      </c>
      <c r="E37" s="479"/>
      <c r="F37" s="479">
        <f>IF('入力表'!F16&gt;0,'入力表'!J16,-1)</f>
        <v>-1</v>
      </c>
      <c r="G37" s="479"/>
      <c r="H37" s="478">
        <f>IF('入力表'!F16&gt;0,'入力表'!K16,-1)</f>
        <v>-1</v>
      </c>
      <c r="I37" s="478"/>
    </row>
    <row r="38" spans="2:9" ht="13.5">
      <c r="B38" s="307">
        <f>IF('入力表'!F17&gt;0,'入力表'!G17,-1)</f>
        <v>-1</v>
      </c>
      <c r="C38" s="307">
        <f>'入力表'!H17</f>
        <v>650</v>
      </c>
      <c r="D38" s="479">
        <f>IF('入力表'!F17&gt;0,'入力表'!I17,-1)</f>
        <v>-1</v>
      </c>
      <c r="E38" s="479"/>
      <c r="F38" s="479">
        <f>IF('入力表'!F17&gt;0,'入力表'!J17,-1)</f>
        <v>-1</v>
      </c>
      <c r="G38" s="479"/>
      <c r="H38" s="478">
        <f>IF('入力表'!F17&gt;0,'入力表'!K17,-1)</f>
        <v>-1</v>
      </c>
      <c r="I38" s="478"/>
    </row>
    <row r="39" spans="2:9" ht="13.5">
      <c r="B39" s="307">
        <f>IF('入力表'!F18&gt;0,'入力表'!G18,-1)</f>
        <v>-1</v>
      </c>
      <c r="C39" s="307">
        <f>'入力表'!H18</f>
        <v>650</v>
      </c>
      <c r="D39" s="479">
        <f>IF('入力表'!F18&gt;0,'入力表'!I18,-1)</f>
        <v>-1</v>
      </c>
      <c r="E39" s="479"/>
      <c r="F39" s="479">
        <f>IF('入力表'!F18&gt;0,'入力表'!J18,-1)</f>
        <v>-1</v>
      </c>
      <c r="G39" s="479"/>
      <c r="H39" s="478">
        <f>IF('入力表'!F18&gt;0,'入力表'!K18,-1)</f>
        <v>-1</v>
      </c>
      <c r="I39" s="478"/>
    </row>
    <row r="40" spans="2:9" ht="13.5">
      <c r="B40" s="307">
        <f>IF('入力表'!F19&gt;0,'入力表'!G19,-1)</f>
        <v>-1</v>
      </c>
      <c r="C40" s="307">
        <f>'入力表'!H19</f>
        <v>650</v>
      </c>
      <c r="D40" s="479">
        <f>IF('入力表'!F19&gt;0,'入力表'!I19,-1)</f>
        <v>-1</v>
      </c>
      <c r="E40" s="479"/>
      <c r="F40" s="479">
        <f>IF('入力表'!F19&gt;0,'入力表'!J19,-1)</f>
        <v>-1</v>
      </c>
      <c r="G40" s="479"/>
      <c r="H40" s="478">
        <f>IF('入力表'!F19&gt;0,'入力表'!K19,-1)</f>
        <v>-1</v>
      </c>
      <c r="I40" s="478"/>
    </row>
    <row r="41" spans="2:12" ht="13.5">
      <c r="B41" s="475" t="s">
        <v>206</v>
      </c>
      <c r="C41" s="475"/>
      <c r="D41" s="475"/>
      <c r="E41" s="475"/>
      <c r="F41" s="475"/>
      <c r="G41" s="308"/>
      <c r="H41" s="308"/>
      <c r="I41" s="308"/>
      <c r="J41" s="308"/>
      <c r="K41" s="308"/>
      <c r="L41" s="308"/>
    </row>
    <row r="42" spans="2:10" ht="13.5">
      <c r="B42" s="309" t="s">
        <v>548</v>
      </c>
      <c r="C42" s="309"/>
      <c r="D42" s="309"/>
      <c r="E42" s="309"/>
      <c r="F42" s="309"/>
      <c r="G42" s="309"/>
      <c r="H42" s="309"/>
      <c r="I42" s="309"/>
      <c r="J42" s="309"/>
    </row>
    <row r="43" spans="2:10" ht="13.5">
      <c r="B43" s="310" t="s">
        <v>549</v>
      </c>
      <c r="C43" s="309" t="s">
        <v>93</v>
      </c>
      <c r="D43" s="309"/>
      <c r="E43" s="309"/>
      <c r="F43" s="309"/>
      <c r="G43" s="309"/>
      <c r="H43" s="309"/>
      <c r="I43" s="309"/>
      <c r="J43" s="309"/>
    </row>
    <row r="44" spans="2:10" ht="13.5">
      <c r="B44" s="310" t="s">
        <v>550</v>
      </c>
      <c r="C44" s="309" t="s">
        <v>95</v>
      </c>
      <c r="D44" s="309"/>
      <c r="E44" s="309"/>
      <c r="F44" s="309"/>
      <c r="G44" s="309"/>
      <c r="H44" s="309"/>
      <c r="I44" s="309"/>
      <c r="J44" s="309"/>
    </row>
    <row r="45" spans="2:12" ht="13.5">
      <c r="B45" s="310" t="s">
        <v>551</v>
      </c>
      <c r="C45" s="309" t="s">
        <v>94</v>
      </c>
      <c r="D45" s="309"/>
      <c r="E45" s="309"/>
      <c r="F45" s="309"/>
      <c r="G45" s="309" t="s">
        <v>552</v>
      </c>
      <c r="H45" s="309"/>
      <c r="I45" s="309"/>
      <c r="J45" s="309"/>
      <c r="K45" s="309"/>
      <c r="L45" s="309"/>
    </row>
    <row r="46" spans="2:12" ht="13.5">
      <c r="B46" s="309"/>
      <c r="C46" s="309"/>
      <c r="D46" s="310"/>
      <c r="E46" s="309"/>
      <c r="F46" s="309"/>
      <c r="G46" s="309"/>
      <c r="H46" s="309"/>
      <c r="I46" s="309"/>
      <c r="J46" s="309"/>
      <c r="K46" s="309"/>
      <c r="L46" s="309"/>
    </row>
    <row r="47" spans="2:10" ht="13.5">
      <c r="B47" s="310" t="s">
        <v>553</v>
      </c>
      <c r="C47" s="477">
        <f>'入力表'!I20</f>
        <v>5560</v>
      </c>
      <c r="D47" s="477"/>
      <c r="E47" s="309"/>
      <c r="F47" s="309"/>
      <c r="G47" s="309"/>
      <c r="H47" s="309"/>
      <c r="I47" s="309"/>
      <c r="J47" s="309"/>
    </row>
    <row r="48" spans="2:10" ht="13.5">
      <c r="B48" s="310" t="s">
        <v>554</v>
      </c>
      <c r="C48" s="477">
        <f>'入力表'!G20</f>
        <v>16</v>
      </c>
      <c r="D48" s="477"/>
      <c r="E48" s="309" t="s">
        <v>96</v>
      </c>
      <c r="F48" s="309"/>
      <c r="G48" s="309"/>
      <c r="H48" s="309"/>
      <c r="I48" s="309"/>
      <c r="J48" s="309"/>
    </row>
    <row r="49" spans="2:8" ht="13.5">
      <c r="B49" s="310" t="s">
        <v>555</v>
      </c>
      <c r="C49" s="311">
        <f>C47</f>
        <v>5560</v>
      </c>
      <c r="D49" s="311" t="s">
        <v>6</v>
      </c>
      <c r="E49" s="312">
        <f>C48</f>
        <v>16</v>
      </c>
      <c r="F49" s="313">
        <f>C49/E49</f>
        <v>347.5</v>
      </c>
      <c r="G49" s="313"/>
      <c r="H49" s="309"/>
    </row>
    <row r="50" spans="2:8" ht="15">
      <c r="B50" s="310" t="s">
        <v>556</v>
      </c>
      <c r="C50" s="314">
        <f>'入力表'!K20</f>
        <v>936700</v>
      </c>
      <c r="D50" s="309" t="s">
        <v>557</v>
      </c>
      <c r="E50" s="309"/>
      <c r="F50" s="309"/>
      <c r="G50" s="309"/>
      <c r="H50" s="309"/>
    </row>
    <row r="51" spans="2:9" ht="13.5">
      <c r="B51" s="300"/>
      <c r="C51" s="300"/>
      <c r="D51" s="300"/>
      <c r="E51" s="300"/>
      <c r="F51" s="300"/>
      <c r="G51" s="300"/>
      <c r="H51" s="300"/>
      <c r="I51" s="300"/>
    </row>
    <row r="52" spans="2:11" ht="15">
      <c r="B52" s="310" t="s">
        <v>52</v>
      </c>
      <c r="C52" s="308" t="s">
        <v>558</v>
      </c>
      <c r="D52" s="308"/>
      <c r="E52" s="308"/>
      <c r="F52" s="308"/>
      <c r="G52" s="308"/>
      <c r="H52" s="308"/>
      <c r="I52" s="308"/>
      <c r="J52" s="308"/>
      <c r="K52" s="309"/>
    </row>
    <row r="53" spans="2:9" ht="13.5">
      <c r="B53" s="310" t="s">
        <v>5</v>
      </c>
      <c r="C53" s="476">
        <f>P*H*1000</f>
        <v>310800000</v>
      </c>
      <c r="D53" s="476"/>
      <c r="E53" s="311" t="s">
        <v>6</v>
      </c>
      <c r="F53" s="315">
        <f>C50</f>
        <v>936700</v>
      </c>
      <c r="G53" s="311" t="s">
        <v>15</v>
      </c>
      <c r="H53" s="316">
        <f>'入力表'!J20</f>
        <v>302.5</v>
      </c>
      <c r="I53" s="309"/>
    </row>
    <row r="54" spans="2:10" ht="13.5">
      <c r="B54" s="310" t="s">
        <v>5</v>
      </c>
      <c r="C54" s="317">
        <f>C53/F53*H53</f>
        <v>100370.4494501975</v>
      </c>
      <c r="D54" s="309" t="s">
        <v>559</v>
      </c>
      <c r="E54" s="311"/>
      <c r="F54" s="477"/>
      <c r="G54" s="477"/>
      <c r="H54" s="309"/>
      <c r="I54" s="318"/>
      <c r="J54" s="318"/>
    </row>
    <row r="55" spans="2:11" ht="13.5">
      <c r="B55" s="309"/>
      <c r="C55" s="310" t="s">
        <v>560</v>
      </c>
      <c r="D55" s="308" t="s">
        <v>207</v>
      </c>
      <c r="E55" s="308"/>
      <c r="F55" s="308"/>
      <c r="G55" s="308"/>
      <c r="H55" s="308"/>
      <c r="I55" s="308"/>
      <c r="J55" s="308"/>
      <c r="K55" s="308"/>
    </row>
    <row r="56" spans="2:11" ht="13.5">
      <c r="B56" s="309"/>
      <c r="C56" s="310"/>
      <c r="D56" s="319"/>
      <c r="E56" s="319"/>
      <c r="F56" s="319"/>
      <c r="G56" s="319"/>
      <c r="H56" s="319"/>
      <c r="I56" s="319"/>
      <c r="J56" s="319"/>
      <c r="K56" s="319"/>
    </row>
    <row r="57" ht="13.5">
      <c r="A57" s="55" t="s">
        <v>561</v>
      </c>
    </row>
    <row r="58" spans="1:9" ht="13.5">
      <c r="A58" s="302" t="s">
        <v>562</v>
      </c>
      <c r="B58" s="55" t="s">
        <v>563</v>
      </c>
      <c r="H58" s="340">
        <f>'入力表'!I29</f>
        <v>2</v>
      </c>
      <c r="I58" s="55" t="s">
        <v>564</v>
      </c>
    </row>
    <row r="59" spans="1:9" ht="13.5">
      <c r="A59" s="302" t="s">
        <v>565</v>
      </c>
      <c r="B59" s="55" t="s">
        <v>566</v>
      </c>
      <c r="H59" s="340">
        <f>H58/2</f>
        <v>1</v>
      </c>
      <c r="I59" s="55" t="s">
        <v>564</v>
      </c>
    </row>
    <row r="60" spans="1:9" ht="13.5">
      <c r="A60" s="302" t="s">
        <v>567</v>
      </c>
      <c r="B60" s="55" t="s">
        <v>568</v>
      </c>
      <c r="H60" s="340">
        <f>'入力表'!I30</f>
        <v>100</v>
      </c>
      <c r="I60" s="55" t="s">
        <v>569</v>
      </c>
    </row>
    <row r="61" spans="1:9" ht="13.5">
      <c r="A61" s="302" t="s">
        <v>570</v>
      </c>
      <c r="B61" s="55" t="s">
        <v>571</v>
      </c>
      <c r="H61" s="340">
        <f>'入力表'!I31</f>
        <v>50</v>
      </c>
      <c r="I61" s="55" t="s">
        <v>528</v>
      </c>
    </row>
    <row r="62" spans="1:9" ht="13.5">
      <c r="A62" s="302" t="s">
        <v>572</v>
      </c>
      <c r="B62" s="55" t="s">
        <v>573</v>
      </c>
      <c r="H62" s="340">
        <f>(H59-1)*H60+2*H61</f>
        <v>100</v>
      </c>
      <c r="I62" s="55" t="s">
        <v>528</v>
      </c>
    </row>
    <row r="63" spans="1:9" ht="13.5">
      <c r="A63" s="302" t="s">
        <v>574</v>
      </c>
      <c r="B63" s="55" t="s">
        <v>575</v>
      </c>
      <c r="H63" s="55">
        <f>'入力表'!D29</f>
        <v>28</v>
      </c>
      <c r="I63" s="55" t="s">
        <v>528</v>
      </c>
    </row>
    <row r="64" spans="1:9" ht="16.5">
      <c r="A64" s="302" t="s">
        <v>576</v>
      </c>
      <c r="B64" s="55" t="s">
        <v>577</v>
      </c>
      <c r="H64" s="55">
        <f>'入力表'!D38</f>
        <v>22</v>
      </c>
      <c r="I64" s="55" t="s">
        <v>528</v>
      </c>
    </row>
    <row r="65" spans="1:9" ht="16.5">
      <c r="A65" s="302" t="s">
        <v>578</v>
      </c>
      <c r="B65" s="55" t="s">
        <v>701</v>
      </c>
      <c r="H65" s="340">
        <f>'入力表'!I35</f>
        <v>17</v>
      </c>
      <c r="I65" s="55" t="s">
        <v>528</v>
      </c>
    </row>
    <row r="66" spans="1:9" ht="13.5">
      <c r="A66" s="302" t="s">
        <v>579</v>
      </c>
      <c r="B66" s="55" t="s">
        <v>580</v>
      </c>
      <c r="H66" s="340">
        <f>'入力表'!I24</f>
        <v>22</v>
      </c>
      <c r="I66" s="55" t="s">
        <v>528</v>
      </c>
    </row>
    <row r="67" spans="1:9" ht="13.5">
      <c r="A67" s="302" t="s">
        <v>581</v>
      </c>
      <c r="B67" s="55" t="s">
        <v>582</v>
      </c>
      <c r="H67" s="340">
        <f>'入力表'!I25</f>
        <v>24.5</v>
      </c>
      <c r="I67" s="55" t="s">
        <v>528</v>
      </c>
    </row>
    <row r="68" spans="1:9" ht="17.25">
      <c r="A68" s="302" t="s">
        <v>583</v>
      </c>
      <c r="B68" s="55" t="s">
        <v>584</v>
      </c>
      <c r="H68" s="320">
        <f>H66^2*PI()/4</f>
        <v>380.132711084365</v>
      </c>
      <c r="I68" s="55" t="s">
        <v>585</v>
      </c>
    </row>
    <row r="69" spans="1:9" ht="13.5">
      <c r="A69" s="302" t="s">
        <v>586</v>
      </c>
      <c r="B69" s="55" t="s">
        <v>587</v>
      </c>
      <c r="H69" s="340">
        <f>'入力表'!I32</f>
        <v>125</v>
      </c>
      <c r="I69" s="55" t="s">
        <v>528</v>
      </c>
    </row>
    <row r="70" spans="1:9" ht="16.5">
      <c r="A70" s="302" t="s">
        <v>588</v>
      </c>
      <c r="B70" s="55" t="s">
        <v>692</v>
      </c>
      <c r="H70" s="55">
        <f>(H69-H64)/2</f>
        <v>51.5</v>
      </c>
      <c r="I70" s="55" t="s">
        <v>528</v>
      </c>
    </row>
    <row r="71" spans="1:9" ht="13.5">
      <c r="A71" s="302" t="s">
        <v>589</v>
      </c>
      <c r="B71" s="55" t="s">
        <v>590</v>
      </c>
      <c r="H71" s="340">
        <f>'入力表'!I33</f>
        <v>50</v>
      </c>
      <c r="I71" s="55" t="s">
        <v>528</v>
      </c>
    </row>
    <row r="72" spans="1:9" ht="13.5">
      <c r="A72" s="302" t="s">
        <v>591</v>
      </c>
      <c r="B72" s="55" t="s">
        <v>592</v>
      </c>
      <c r="H72" s="340">
        <f>'入力表'!I34</f>
        <v>8</v>
      </c>
      <c r="I72" s="55" t="s">
        <v>528</v>
      </c>
    </row>
    <row r="73" spans="1:9" ht="13.5">
      <c r="A73" s="302" t="s">
        <v>593</v>
      </c>
      <c r="B73" s="55" t="s">
        <v>594</v>
      </c>
      <c r="H73" s="55">
        <f>H70-H72/2</f>
        <v>47.5</v>
      </c>
      <c r="I73" s="55" t="s">
        <v>528</v>
      </c>
    </row>
    <row r="76" spans="1:7" ht="13.5">
      <c r="A76" s="302" t="s">
        <v>595</v>
      </c>
      <c r="B76" s="55" t="s">
        <v>596</v>
      </c>
      <c r="C76" s="55">
        <f>H71</f>
        <v>50</v>
      </c>
      <c r="D76" s="303" t="s">
        <v>597</v>
      </c>
      <c r="E76" s="55">
        <f>H73</f>
        <v>47.5</v>
      </c>
      <c r="F76" s="55" t="s">
        <v>598</v>
      </c>
      <c r="G76" s="321">
        <f>C76/E76</f>
        <v>1.0526315789473684</v>
      </c>
    </row>
    <row r="78" spans="1:2" ht="17.25">
      <c r="A78" s="302" t="s">
        <v>599</v>
      </c>
      <c r="B78" s="55" t="s">
        <v>600</v>
      </c>
    </row>
    <row r="79" spans="2:9" ht="15.75">
      <c r="B79" s="302" t="s">
        <v>601</v>
      </c>
      <c r="C79" s="305" t="s">
        <v>602</v>
      </c>
      <c r="D79" s="55">
        <f>H59</f>
        <v>1</v>
      </c>
      <c r="E79" s="305" t="s">
        <v>602</v>
      </c>
      <c r="F79" s="322">
        <f>H68</f>
        <v>380.132711084365</v>
      </c>
      <c r="G79" s="305" t="s">
        <v>602</v>
      </c>
      <c r="H79" s="55">
        <f>H73</f>
        <v>47.5</v>
      </c>
      <c r="I79" s="323" t="s">
        <v>603</v>
      </c>
    </row>
    <row r="80" spans="1:9" ht="15.75">
      <c r="A80" s="324" t="s">
        <v>604</v>
      </c>
      <c r="B80" s="55">
        <f>H62</f>
        <v>100</v>
      </c>
      <c r="C80" s="305" t="s">
        <v>602</v>
      </c>
      <c r="D80" s="55">
        <f>H63</f>
        <v>28</v>
      </c>
      <c r="E80" s="325" t="s">
        <v>605</v>
      </c>
      <c r="F80" s="55">
        <f>H63</f>
        <v>28</v>
      </c>
      <c r="G80" s="305" t="s">
        <v>606</v>
      </c>
      <c r="H80" s="55">
        <f>H65</f>
        <v>17</v>
      </c>
      <c r="I80" s="55" t="s">
        <v>607</v>
      </c>
    </row>
    <row r="81" spans="1:2" ht="13.5">
      <c r="A81" s="302" t="s">
        <v>598</v>
      </c>
      <c r="B81" s="320">
        <f>(24*D79*F79*H79^3)/(B80*D80^3*(F80+H80))</f>
        <v>9.897846306060417</v>
      </c>
    </row>
    <row r="83" ht="15.75">
      <c r="B83" s="55" t="s">
        <v>608</v>
      </c>
    </row>
    <row r="84" spans="2:3" ht="13.5">
      <c r="B84" s="302" t="s">
        <v>609</v>
      </c>
      <c r="C84" s="343">
        <f>'入力表'!I38</f>
        <v>0.650465</v>
      </c>
    </row>
    <row r="86" ht="13.5">
      <c r="B86" s="55" t="s">
        <v>610</v>
      </c>
    </row>
    <row r="87" spans="1:2" ht="15.75">
      <c r="A87" s="302" t="s">
        <v>611</v>
      </c>
      <c r="B87" s="55" t="s">
        <v>612</v>
      </c>
    </row>
    <row r="88" spans="1:5" ht="15.75">
      <c r="A88" s="302" t="s">
        <v>613</v>
      </c>
      <c r="C88" s="302" t="s">
        <v>614</v>
      </c>
      <c r="D88" s="326">
        <f>C84</f>
        <v>0.650465</v>
      </c>
      <c r="E88" s="305" t="s">
        <v>615</v>
      </c>
    </row>
    <row r="89" spans="1:2" ht="13.5">
      <c r="A89" s="302" t="s">
        <v>613</v>
      </c>
      <c r="B89" s="321">
        <f>1/(2*((1+C84)^2-1))</f>
        <v>0.29001736177031023</v>
      </c>
    </row>
    <row r="91" ht="13.5">
      <c r="B91" s="55" t="s">
        <v>616</v>
      </c>
    </row>
    <row r="93" spans="1:2" ht="13.5">
      <c r="A93" s="302" t="s">
        <v>617</v>
      </c>
      <c r="B93" s="55" t="s">
        <v>618</v>
      </c>
    </row>
    <row r="94" spans="1:5" ht="13.5">
      <c r="A94" s="302" t="s">
        <v>619</v>
      </c>
      <c r="B94" s="327">
        <f>C54/1000</f>
        <v>100.3704494501975</v>
      </c>
      <c r="C94" s="305" t="s">
        <v>620</v>
      </c>
      <c r="D94" s="326">
        <f>B89</f>
        <v>0.29001736177031023</v>
      </c>
      <c r="E94" s="55" t="s">
        <v>621</v>
      </c>
    </row>
    <row r="95" spans="1:9" ht="13.5">
      <c r="A95" s="302" t="s">
        <v>619</v>
      </c>
      <c r="B95" s="320">
        <f>B94*(1+D94)</f>
        <v>129.47962239944408</v>
      </c>
      <c r="C95" s="55" t="s">
        <v>622</v>
      </c>
      <c r="D95" s="305" t="s">
        <v>623</v>
      </c>
      <c r="E95" s="55" t="str">
        <f>"ρｔａ＝"&amp;'入力表'!D22&amp;" × "&amp;'入力表'!I27&amp;"="</f>
        <v>ρｔａ＝1.5 × 160=</v>
      </c>
      <c r="G95" s="55">
        <f>'入力表'!I27*'入力表'!D22</f>
        <v>240</v>
      </c>
      <c r="H95" s="55" t="s">
        <v>622</v>
      </c>
      <c r="I95" s="250" t="str">
        <f>IF(B95&lt;G95,"ＯＫ","ＮＧ")</f>
        <v>ＯＫ</v>
      </c>
    </row>
    <row r="96" spans="4:5" ht="13.5">
      <c r="D96" s="302" t="s">
        <v>624</v>
      </c>
      <c r="E96" s="55" t="s">
        <v>625</v>
      </c>
    </row>
    <row r="112" ht="13.5">
      <c r="A112" s="55" t="s">
        <v>626</v>
      </c>
    </row>
    <row r="114" spans="1:8" ht="15.75">
      <c r="A114" s="302" t="s">
        <v>627</v>
      </c>
      <c r="B114" s="55" t="s">
        <v>628</v>
      </c>
      <c r="F114" s="55" t="s">
        <v>629</v>
      </c>
      <c r="G114" s="342">
        <f>'入力表'!D26</f>
        <v>235</v>
      </c>
      <c r="H114" s="55" t="s">
        <v>630</v>
      </c>
    </row>
    <row r="115" spans="1:8" ht="15.75">
      <c r="A115" s="302" t="s">
        <v>631</v>
      </c>
      <c r="B115" s="55" t="s">
        <v>632</v>
      </c>
      <c r="F115" s="55" t="s">
        <v>619</v>
      </c>
      <c r="G115" s="342">
        <f>'入力表'!D25</f>
        <v>400</v>
      </c>
      <c r="H115" s="55" t="s">
        <v>633</v>
      </c>
    </row>
    <row r="116" spans="1:8" ht="13.5">
      <c r="A116" s="302" t="s">
        <v>634</v>
      </c>
      <c r="B116" s="55" t="s">
        <v>635</v>
      </c>
      <c r="F116" s="55" t="s">
        <v>629</v>
      </c>
      <c r="G116" s="340">
        <f>'入力表'!I28</f>
        <v>273</v>
      </c>
      <c r="H116" s="55" t="s">
        <v>636</v>
      </c>
    </row>
    <row r="117" spans="1:2" ht="13.5">
      <c r="A117" s="302" t="s">
        <v>637</v>
      </c>
      <c r="B117" s="55" t="s">
        <v>638</v>
      </c>
    </row>
    <row r="118" spans="1:2" ht="15.75">
      <c r="A118" s="302" t="s">
        <v>629</v>
      </c>
      <c r="B118" s="55" t="s">
        <v>639</v>
      </c>
    </row>
    <row r="119" spans="1:9" ht="15.75">
      <c r="A119" s="302" t="s">
        <v>629</v>
      </c>
      <c r="B119" s="302" t="s">
        <v>640</v>
      </c>
      <c r="C119" s="326">
        <f>B89</f>
        <v>0.29001736177031023</v>
      </c>
      <c r="D119" s="305" t="s">
        <v>641</v>
      </c>
      <c r="E119" s="326">
        <f>B89</f>
        <v>0.29001736177031023</v>
      </c>
      <c r="F119" s="480" t="s">
        <v>642</v>
      </c>
      <c r="G119" s="481"/>
      <c r="H119" s="326">
        <f>B89</f>
        <v>0.29001736177031023</v>
      </c>
      <c r="I119" s="55" t="s">
        <v>643</v>
      </c>
    </row>
    <row r="120" spans="1:2" ht="13.5">
      <c r="A120" s="302" t="s">
        <v>629</v>
      </c>
      <c r="B120" s="321">
        <f>(11+C119)*E119/(10-(1+H119)^2)</f>
        <v>0.3927972557770387</v>
      </c>
    </row>
    <row r="122" spans="1:4" ht="13.5">
      <c r="A122" s="302" t="s">
        <v>644</v>
      </c>
      <c r="B122" s="55" t="s">
        <v>645</v>
      </c>
      <c r="C122" s="305"/>
      <c r="D122" s="305"/>
    </row>
    <row r="123" spans="1:8" ht="13.5">
      <c r="A123" s="302" t="s">
        <v>629</v>
      </c>
      <c r="B123" s="55">
        <v>0.5</v>
      </c>
      <c r="C123" s="305" t="s">
        <v>646</v>
      </c>
      <c r="D123" s="55">
        <v>0.9</v>
      </c>
      <c r="E123" s="305" t="s">
        <v>647</v>
      </c>
      <c r="F123" s="55">
        <f>G115</f>
        <v>400</v>
      </c>
      <c r="G123" s="303" t="s">
        <v>648</v>
      </c>
      <c r="H123" s="55">
        <f>G114</f>
        <v>235</v>
      </c>
    </row>
    <row r="124" spans="1:2" ht="13.5">
      <c r="A124" s="302" t="s">
        <v>629</v>
      </c>
      <c r="B124" s="321">
        <f>B123+D123*F123/H123</f>
        <v>2.0319148936170213</v>
      </c>
    </row>
    <row r="126" spans="1:2" ht="13.5">
      <c r="A126" s="302" t="s">
        <v>649</v>
      </c>
      <c r="B126" s="55" t="s">
        <v>650</v>
      </c>
    </row>
    <row r="127" spans="1:8" ht="13.5">
      <c r="A127" s="302" t="s">
        <v>629</v>
      </c>
      <c r="B127" s="55">
        <v>1</v>
      </c>
      <c r="C127" s="305" t="s">
        <v>651</v>
      </c>
      <c r="D127" s="55">
        <f>H59</f>
        <v>1</v>
      </c>
      <c r="E127" s="305" t="s">
        <v>647</v>
      </c>
      <c r="F127" s="55">
        <f>H67</f>
        <v>24.5</v>
      </c>
      <c r="G127" s="303" t="s">
        <v>648</v>
      </c>
      <c r="H127" s="55">
        <f>H62</f>
        <v>100</v>
      </c>
    </row>
    <row r="128" spans="1:2" ht="13.5">
      <c r="A128" s="302" t="s">
        <v>629</v>
      </c>
      <c r="B128" s="321">
        <f>B127-D127*F127/H127</f>
        <v>0.755</v>
      </c>
    </row>
    <row r="131" ht="13.5">
      <c r="A131" s="306" t="s">
        <v>652</v>
      </c>
    </row>
    <row r="133" spans="1:2" ht="16.5">
      <c r="A133" s="302" t="s">
        <v>653</v>
      </c>
      <c r="B133" s="55" t="s">
        <v>654</v>
      </c>
    </row>
    <row r="134" spans="1:9" ht="13.5">
      <c r="A134" s="302" t="s">
        <v>655</v>
      </c>
      <c r="B134" s="302" t="s">
        <v>656</v>
      </c>
      <c r="C134" s="55">
        <v>6</v>
      </c>
      <c r="D134" s="305" t="s">
        <v>657</v>
      </c>
      <c r="E134" s="55">
        <f>H59</f>
        <v>1</v>
      </c>
      <c r="F134" s="305" t="s">
        <v>657</v>
      </c>
      <c r="G134" s="55">
        <f>G116</f>
        <v>273</v>
      </c>
      <c r="H134" s="305" t="s">
        <v>657</v>
      </c>
      <c r="I134" s="326">
        <f>B120</f>
        <v>0.3927972557770387</v>
      </c>
    </row>
    <row r="135" spans="2:9" ht="13.5">
      <c r="B135" s="305" t="s">
        <v>657</v>
      </c>
      <c r="C135" s="55">
        <f>H71</f>
        <v>50</v>
      </c>
      <c r="D135" s="305" t="s">
        <v>658</v>
      </c>
      <c r="E135" s="326">
        <f>B128</f>
        <v>0.755</v>
      </c>
      <c r="F135" s="305" t="s">
        <v>657</v>
      </c>
      <c r="G135" s="55">
        <f>H62</f>
        <v>100</v>
      </c>
      <c r="H135" s="305" t="s">
        <v>659</v>
      </c>
      <c r="I135" s="326">
        <f>B120</f>
        <v>0.3927972557770387</v>
      </c>
    </row>
    <row r="136" spans="2:6" ht="13.5">
      <c r="B136" s="305" t="s">
        <v>660</v>
      </c>
      <c r="C136" s="326">
        <f>B124</f>
        <v>2.0319148936170213</v>
      </c>
      <c r="D136" s="305" t="s">
        <v>657</v>
      </c>
      <c r="E136" s="55">
        <f>G114/1000</f>
        <v>0.235</v>
      </c>
      <c r="F136" s="55" t="s">
        <v>661</v>
      </c>
    </row>
    <row r="137" spans="1:2" ht="13.5">
      <c r="A137" s="302" t="s">
        <v>655</v>
      </c>
      <c r="B137" s="320">
        <f>SQRT((C134*E134*G134*I134*C135)/(E135*G135*(1+I135)*C136*E136))</f>
        <v>25.311743356125476</v>
      </c>
    </row>
    <row r="140" spans="1:2" ht="16.5">
      <c r="A140" s="302" t="s">
        <v>662</v>
      </c>
      <c r="B140" s="55" t="s">
        <v>663</v>
      </c>
    </row>
    <row r="141" spans="1:9" ht="13.5">
      <c r="A141" s="302" t="s">
        <v>655</v>
      </c>
      <c r="B141" s="302" t="s">
        <v>656</v>
      </c>
      <c r="C141" s="55">
        <v>6</v>
      </c>
      <c r="D141" s="305" t="s">
        <v>657</v>
      </c>
      <c r="E141" s="55">
        <f>H59</f>
        <v>1</v>
      </c>
      <c r="F141" s="305" t="s">
        <v>657</v>
      </c>
      <c r="G141" s="55">
        <f>G116</f>
        <v>273</v>
      </c>
      <c r="H141" s="305" t="s">
        <v>664</v>
      </c>
      <c r="I141" s="55">
        <f>H73</f>
        <v>47.5</v>
      </c>
    </row>
    <row r="142" spans="2:9" ht="13.5">
      <c r="B142" s="305" t="s">
        <v>665</v>
      </c>
      <c r="C142" s="55">
        <f>H71</f>
        <v>50</v>
      </c>
      <c r="D142" s="305" t="s">
        <v>657</v>
      </c>
      <c r="E142" s="326">
        <f>B120</f>
        <v>0.3927972557770387</v>
      </c>
      <c r="F142" s="305" t="s">
        <v>666</v>
      </c>
      <c r="G142" s="55">
        <f>H62</f>
        <v>100</v>
      </c>
      <c r="H142" s="305" t="s">
        <v>659</v>
      </c>
      <c r="I142" s="326">
        <f>B120</f>
        <v>0.3927972557770387</v>
      </c>
    </row>
    <row r="143" spans="2:6" ht="13.5">
      <c r="B143" s="305" t="s">
        <v>660</v>
      </c>
      <c r="C143" s="326">
        <f>B124</f>
        <v>2.0319148936170213</v>
      </c>
      <c r="D143" s="305" t="s">
        <v>657</v>
      </c>
      <c r="E143" s="55">
        <f>G114/1000</f>
        <v>0.235</v>
      </c>
      <c r="F143" s="55" t="s">
        <v>667</v>
      </c>
    </row>
    <row r="144" spans="1:2" ht="13.5">
      <c r="A144" s="302" t="s">
        <v>655</v>
      </c>
      <c r="B144" s="320">
        <f>SQRT((C141*E141*G141*(I141-C142*E142))/(G142*(1+I142)*C143*E143))</f>
        <v>26.194971787358295</v>
      </c>
    </row>
    <row r="146" spans="2:9" ht="13.5">
      <c r="B146" s="302" t="s">
        <v>668</v>
      </c>
      <c r="C146" s="55">
        <f>H63</f>
        <v>28</v>
      </c>
      <c r="D146" s="305" t="s">
        <v>669</v>
      </c>
      <c r="E146" s="305" t="s">
        <v>670</v>
      </c>
      <c r="F146" s="305" t="str">
        <f>IF(B137&gt;=B144,"t1","t2")</f>
        <v>t2</v>
      </c>
      <c r="G146" s="305" t="s">
        <v>670</v>
      </c>
      <c r="H146" s="305" t="str">
        <f>IF(B137&lt;B144,"t1","t2")</f>
        <v>t1</v>
      </c>
      <c r="I146" s="250" t="str">
        <f>IF(MAX(B137,B144)&lt;C146,"ＯＫ","ＮＧ")</f>
        <v>ＯＫ</v>
      </c>
    </row>
  </sheetData>
  <sheetProtection sheet="1" objects="1" scenarios="1"/>
  <mergeCells count="58">
    <mergeCell ref="H35:I35"/>
    <mergeCell ref="B2:I4"/>
    <mergeCell ref="D30:E30"/>
    <mergeCell ref="F30:G30"/>
    <mergeCell ref="H30:I30"/>
    <mergeCell ref="D31:E31"/>
    <mergeCell ref="F31:G31"/>
    <mergeCell ref="H31:I31"/>
    <mergeCell ref="F28:G28"/>
    <mergeCell ref="H28:I28"/>
    <mergeCell ref="D29:E29"/>
    <mergeCell ref="F29:G29"/>
    <mergeCell ref="H29:I29"/>
    <mergeCell ref="B24:B25"/>
    <mergeCell ref="C24:C25"/>
    <mergeCell ref="D24:E25"/>
    <mergeCell ref="F24:G25"/>
    <mergeCell ref="H24:I25"/>
    <mergeCell ref="D26:E26"/>
    <mergeCell ref="F26:G26"/>
    <mergeCell ref="H26:I26"/>
    <mergeCell ref="D27:E27"/>
    <mergeCell ref="H33:I33"/>
    <mergeCell ref="H34:I34"/>
    <mergeCell ref="F27:G27"/>
    <mergeCell ref="D28:E28"/>
    <mergeCell ref="H27:I27"/>
    <mergeCell ref="D32:E32"/>
    <mergeCell ref="F32:G32"/>
    <mergeCell ref="H32:I32"/>
    <mergeCell ref="D38:E38"/>
    <mergeCell ref="F38:G38"/>
    <mergeCell ref="D33:E33"/>
    <mergeCell ref="F33:G33"/>
    <mergeCell ref="D34:E34"/>
    <mergeCell ref="F34:G34"/>
    <mergeCell ref="D35:E35"/>
    <mergeCell ref="F35:G35"/>
    <mergeCell ref="F40:G40"/>
    <mergeCell ref="H40:I40"/>
    <mergeCell ref="F119:G119"/>
    <mergeCell ref="B18:I22"/>
    <mergeCell ref="D36:E36"/>
    <mergeCell ref="F36:G36"/>
    <mergeCell ref="H36:I36"/>
    <mergeCell ref="D37:E37"/>
    <mergeCell ref="F37:G37"/>
    <mergeCell ref="H37:I37"/>
    <mergeCell ref="B41:F41"/>
    <mergeCell ref="C53:D53"/>
    <mergeCell ref="F54:G54"/>
    <mergeCell ref="C47:D47"/>
    <mergeCell ref="C48:D48"/>
    <mergeCell ref="H38:I38"/>
    <mergeCell ref="D39:E39"/>
    <mergeCell ref="F39:G39"/>
    <mergeCell ref="H39:I39"/>
    <mergeCell ref="D40:E40"/>
  </mergeCells>
  <conditionalFormatting sqref="B26:B40 D26:I40">
    <cfRule type="cellIs" priority="1" dxfId="46" operator="equal" stopIfTrue="1">
      <formula>-1</formula>
    </cfRule>
  </conditionalFormatting>
  <conditionalFormatting sqref="C26:C40">
    <cfRule type="cellIs" priority="2" dxfId="46" operator="equal" stopIfTrue="1">
      <formula>C25</formula>
    </cfRule>
  </conditionalFormatting>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23"/>
  <sheetViews>
    <sheetView zoomScalePageLayoutView="0" workbookViewId="0" topLeftCell="A1">
      <selection activeCell="M23" sqref="M23:N23"/>
    </sheetView>
  </sheetViews>
  <sheetFormatPr defaultColWidth="9.00390625" defaultRowHeight="13.5"/>
  <cols>
    <col min="1" max="19" width="4.625" style="123" customWidth="1"/>
    <col min="20" max="16384" width="9.00390625" style="123" customWidth="1"/>
  </cols>
  <sheetData>
    <row r="1" spans="1:9" ht="15" customHeight="1">
      <c r="A1" s="123" t="s">
        <v>413</v>
      </c>
      <c r="B1" s="175"/>
      <c r="C1" s="175"/>
      <c r="D1" s="175"/>
      <c r="E1" s="175"/>
      <c r="F1" s="175"/>
      <c r="G1" s="175"/>
      <c r="H1" s="175"/>
      <c r="I1" s="175"/>
    </row>
    <row r="2" spans="2:19" ht="30" customHeight="1">
      <c r="B2" s="486" t="s">
        <v>465</v>
      </c>
      <c r="C2" s="486"/>
      <c r="D2" s="486"/>
      <c r="E2" s="486"/>
      <c r="F2" s="486"/>
      <c r="G2" s="486"/>
      <c r="H2" s="486"/>
      <c r="I2" s="486"/>
      <c r="J2" s="486"/>
      <c r="K2" s="486"/>
      <c r="L2" s="486"/>
      <c r="M2" s="486"/>
      <c r="N2" s="486"/>
      <c r="O2" s="486"/>
      <c r="P2" s="486"/>
      <c r="Q2" s="486"/>
      <c r="R2" s="486"/>
      <c r="S2" s="145"/>
    </row>
    <row r="3" s="152" customFormat="1" ht="15" customHeight="1"/>
    <row r="4" s="152" customFormat="1" ht="15" customHeight="1"/>
    <row r="5" s="152" customFormat="1" ht="15" customHeight="1"/>
    <row r="6" s="152" customFormat="1" ht="15" customHeight="1"/>
    <row r="7" spans="2:5" s="152" customFormat="1" ht="15" customHeight="1">
      <c r="B7" s="153" t="s">
        <v>414</v>
      </c>
      <c r="C7" s="484">
        <f>'設計方針'!K22*1000</f>
        <v>888000</v>
      </c>
      <c r="D7" s="484"/>
      <c r="E7" s="152" t="s">
        <v>415</v>
      </c>
    </row>
    <row r="8" spans="3:10" s="152" customFormat="1" ht="15" customHeight="1">
      <c r="C8" s="485"/>
      <c r="D8" s="485"/>
      <c r="E8" s="143"/>
      <c r="H8" s="143"/>
      <c r="I8" s="143"/>
      <c r="J8" s="153"/>
    </row>
    <row r="9" spans="2:5" s="152" customFormat="1" ht="15" customHeight="1">
      <c r="B9" s="153" t="s">
        <v>416</v>
      </c>
      <c r="C9" s="484">
        <f>'入力表'!I48</f>
        <v>2070</v>
      </c>
      <c r="D9" s="484"/>
      <c r="E9" s="152" t="s">
        <v>417</v>
      </c>
    </row>
    <row r="10" spans="2:5" s="152" customFormat="1" ht="15" customHeight="1">
      <c r="B10" s="153" t="s">
        <v>418</v>
      </c>
      <c r="C10" s="484">
        <f>'入力表'!I50</f>
        <v>900</v>
      </c>
      <c r="D10" s="484"/>
      <c r="E10" s="152" t="s">
        <v>417</v>
      </c>
    </row>
    <row r="11" spans="2:11" s="152" customFormat="1" ht="15" customHeight="1">
      <c r="B11" s="153" t="s">
        <v>419</v>
      </c>
      <c r="C11" s="484">
        <f>'入力表'!I49</f>
        <v>740</v>
      </c>
      <c r="D11" s="484"/>
      <c r="E11" s="152" t="s">
        <v>417</v>
      </c>
      <c r="H11" s="143"/>
      <c r="K11" s="143"/>
    </row>
    <row r="12" spans="2:5" s="152" customFormat="1" ht="15" customHeight="1">
      <c r="B12" s="153" t="s">
        <v>420</v>
      </c>
      <c r="C12" s="484">
        <f>'入力表'!I47</f>
        <v>17</v>
      </c>
      <c r="D12" s="484"/>
      <c r="E12" s="152" t="s">
        <v>417</v>
      </c>
    </row>
    <row r="13" s="152" customFormat="1" ht="15" customHeight="1"/>
    <row r="14" s="152" customFormat="1" ht="15" customHeight="1">
      <c r="B14" s="152" t="s">
        <v>381</v>
      </c>
    </row>
    <row r="15" spans="2:9" s="152" customFormat="1" ht="15" customHeight="1">
      <c r="B15" s="152" t="s">
        <v>382</v>
      </c>
      <c r="H15" s="143">
        <f>'入力表'!I45</f>
        <v>2</v>
      </c>
      <c r="I15" s="152" t="s">
        <v>383</v>
      </c>
    </row>
    <row r="16" spans="2:3" s="152" customFormat="1" ht="15" customHeight="1">
      <c r="B16" s="153" t="s">
        <v>421</v>
      </c>
      <c r="C16" s="152" t="s">
        <v>384</v>
      </c>
    </row>
    <row r="17" spans="2:10" s="152" customFormat="1" ht="15" customHeight="1">
      <c r="B17" s="153" t="s">
        <v>422</v>
      </c>
      <c r="C17" s="488">
        <f>C7</f>
        <v>888000</v>
      </c>
      <c r="D17" s="488"/>
      <c r="E17" s="143" t="s">
        <v>423</v>
      </c>
      <c r="F17" s="176">
        <f>H15</f>
        <v>2</v>
      </c>
      <c r="G17" s="143" t="s">
        <v>424</v>
      </c>
      <c r="H17" s="152">
        <f>C11</f>
        <v>740</v>
      </c>
      <c r="I17" s="143" t="s">
        <v>423</v>
      </c>
      <c r="J17" s="176">
        <f>C12</f>
        <v>17</v>
      </c>
    </row>
    <row r="18" spans="2:18" s="152" customFormat="1" ht="15" customHeight="1">
      <c r="B18" s="153" t="s">
        <v>422</v>
      </c>
      <c r="C18" s="487">
        <f>C17*F17/H17/J17</f>
        <v>141.1764705882353</v>
      </c>
      <c r="D18" s="487"/>
      <c r="L18" s="143" t="s">
        <v>46</v>
      </c>
      <c r="M18" s="487">
        <f>'入力表'!I43</f>
        <v>315</v>
      </c>
      <c r="N18" s="484"/>
      <c r="O18" s="152" t="s">
        <v>426</v>
      </c>
      <c r="Q18" s="177" t="str">
        <f>IF(C18&lt;M18,"ＯＫ","ＮＧ")</f>
        <v>ＯＫ</v>
      </c>
      <c r="R18" s="167"/>
    </row>
    <row r="19" s="152" customFormat="1" ht="15" customHeight="1"/>
    <row r="20" s="152" customFormat="1" ht="15" customHeight="1">
      <c r="B20" s="152" t="s">
        <v>385</v>
      </c>
    </row>
    <row r="21" spans="2:3" s="152" customFormat="1" ht="15" customHeight="1">
      <c r="B21" s="153" t="s">
        <v>425</v>
      </c>
      <c r="C21" s="152" t="s">
        <v>386</v>
      </c>
    </row>
    <row r="22" spans="2:12" s="152" customFormat="1" ht="15" customHeight="1">
      <c r="B22" s="153" t="s">
        <v>422</v>
      </c>
      <c r="C22" s="488">
        <f>C7</f>
        <v>888000</v>
      </c>
      <c r="D22" s="488"/>
      <c r="E22" s="143" t="s">
        <v>423</v>
      </c>
      <c r="F22" s="176">
        <f>H15</f>
        <v>2</v>
      </c>
      <c r="G22" s="143" t="s">
        <v>424</v>
      </c>
      <c r="H22" s="143">
        <f>C9</f>
        <v>2070</v>
      </c>
      <c r="I22" s="143" t="s">
        <v>423</v>
      </c>
      <c r="J22" s="143">
        <f>C12</f>
        <v>17</v>
      </c>
      <c r="K22" s="152" t="s">
        <v>423</v>
      </c>
      <c r="L22" s="176">
        <v>2</v>
      </c>
    </row>
    <row r="23" spans="2:18" s="152" customFormat="1" ht="15" customHeight="1">
      <c r="B23" s="153" t="s">
        <v>422</v>
      </c>
      <c r="C23" s="487">
        <f>(C22*F22)/(H22*J22*2)</f>
        <v>25.234441602728047</v>
      </c>
      <c r="D23" s="487"/>
      <c r="L23" s="143" t="s">
        <v>46</v>
      </c>
      <c r="M23" s="487">
        <f>'入力表'!I44</f>
        <v>180</v>
      </c>
      <c r="N23" s="484"/>
      <c r="O23" s="152" t="s">
        <v>426</v>
      </c>
      <c r="Q23" s="177" t="str">
        <f>IF(C23&lt;M23,"ＯＫ","ＮＧ")</f>
        <v>ＯＫ</v>
      </c>
      <c r="R23" s="167"/>
    </row>
    <row r="24" ht="15" customHeight="1"/>
  </sheetData>
  <sheetProtection sheet="1" objects="1" scenarios="1"/>
  <mergeCells count="13">
    <mergeCell ref="C11:D11"/>
    <mergeCell ref="C12:D12"/>
    <mergeCell ref="C23:D23"/>
    <mergeCell ref="C7:D7"/>
    <mergeCell ref="C8:D8"/>
    <mergeCell ref="C9:D9"/>
    <mergeCell ref="B2:R2"/>
    <mergeCell ref="M23:N23"/>
    <mergeCell ref="C17:D17"/>
    <mergeCell ref="C18:D18"/>
    <mergeCell ref="M18:N18"/>
    <mergeCell ref="C22:D22"/>
    <mergeCell ref="C10:D10"/>
  </mergeCells>
  <printOptions/>
  <pageMargins left="0.98425196850393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R91"/>
  <sheetViews>
    <sheetView zoomScalePageLayoutView="0" workbookViewId="0" topLeftCell="A1">
      <selection activeCell="H19" sqref="H19:I19"/>
    </sheetView>
  </sheetViews>
  <sheetFormatPr defaultColWidth="9.00390625" defaultRowHeight="13.5"/>
  <cols>
    <col min="1" max="17" width="4.625" style="193" customWidth="1"/>
    <col min="18" max="19" width="4.375" style="193" customWidth="1"/>
    <col min="20" max="20" width="4.125" style="193" customWidth="1"/>
    <col min="21" max="16384" width="9.00390625" style="193" customWidth="1"/>
  </cols>
  <sheetData>
    <row r="1" s="199" customFormat="1" ht="15" customHeight="1">
      <c r="A1" s="199" t="s">
        <v>400</v>
      </c>
    </row>
    <row r="2" s="199" customFormat="1" ht="15" customHeight="1">
      <c r="B2" s="199" t="s">
        <v>78</v>
      </c>
    </row>
    <row r="3" spans="8:10" s="199" customFormat="1" ht="15" customHeight="1">
      <c r="H3" s="196" t="s">
        <v>327</v>
      </c>
      <c r="I3" s="154">
        <f>'入力表'!I60</f>
        <v>30</v>
      </c>
      <c r="J3" s="199" t="s">
        <v>328</v>
      </c>
    </row>
    <row r="4" spans="8:11" s="199" customFormat="1" ht="15" customHeight="1">
      <c r="H4" s="196" t="s">
        <v>522</v>
      </c>
      <c r="I4" s="434">
        <f>'入力表'!I53</f>
        <v>1000</v>
      </c>
      <c r="J4" s="434"/>
      <c r="K4" s="199" t="s">
        <v>208</v>
      </c>
    </row>
    <row r="5" spans="8:11" s="199" customFormat="1" ht="15" customHeight="1">
      <c r="H5" s="196" t="s">
        <v>520</v>
      </c>
      <c r="I5" s="434">
        <f>'入力表'!I54</f>
        <v>850</v>
      </c>
      <c r="J5" s="434"/>
      <c r="K5" s="199" t="s">
        <v>208</v>
      </c>
    </row>
    <row r="6" spans="5:16" s="199" customFormat="1" ht="15" customHeight="1">
      <c r="E6" s="196" t="s">
        <v>88</v>
      </c>
      <c r="F6" s="154">
        <f>IF('入力表'!I58=0,'入力表'!I56,'入力表'!I58)</f>
        <v>250</v>
      </c>
      <c r="G6" s="154" t="s">
        <v>15</v>
      </c>
      <c r="H6" s="154">
        <f>F6</f>
        <v>250</v>
      </c>
      <c r="I6" s="199" t="s">
        <v>403</v>
      </c>
      <c r="J6" s="154"/>
      <c r="K6" s="154"/>
      <c r="L6" s="154"/>
      <c r="M6" s="154"/>
      <c r="N6" s="196" t="s">
        <v>515</v>
      </c>
      <c r="O6" s="155">
        <f>'入力表'!I59</f>
        <v>140</v>
      </c>
      <c r="P6" s="199" t="s">
        <v>209</v>
      </c>
    </row>
    <row r="7" spans="2:15" s="199" customFormat="1" ht="15" customHeight="1">
      <c r="B7" s="199" t="s">
        <v>329</v>
      </c>
      <c r="L7" s="204"/>
      <c r="M7" s="204"/>
      <c r="N7" s="204"/>
      <c r="O7" s="204"/>
    </row>
    <row r="8" spans="2:7" s="199" customFormat="1" ht="15" customHeight="1">
      <c r="B8" s="196" t="s">
        <v>330</v>
      </c>
      <c r="C8" s="173">
        <f>F6</f>
        <v>250</v>
      </c>
      <c r="D8" s="490" t="s">
        <v>404</v>
      </c>
      <c r="E8" s="490"/>
      <c r="F8" s="173">
        <f>O6</f>
        <v>140</v>
      </c>
      <c r="G8" s="207">
        <v>2</v>
      </c>
    </row>
    <row r="9" spans="2:5" s="199" customFormat="1" ht="15" customHeight="1">
      <c r="B9" s="196" t="s">
        <v>202</v>
      </c>
      <c r="C9" s="434">
        <f>ROUND(C8^2-F8^2*PI()/4,0)</f>
        <v>47106</v>
      </c>
      <c r="D9" s="434"/>
      <c r="E9" s="199" t="s">
        <v>331</v>
      </c>
    </row>
    <row r="10" spans="2:13" s="199" customFormat="1" ht="15" customHeight="1">
      <c r="B10" s="437" t="s">
        <v>332</v>
      </c>
      <c r="C10" s="437"/>
      <c r="D10" s="437"/>
      <c r="E10" s="437"/>
      <c r="F10" s="437"/>
      <c r="G10" s="437"/>
      <c r="H10" s="437"/>
      <c r="I10" s="437"/>
      <c r="J10" s="437"/>
      <c r="K10" s="437"/>
      <c r="L10" s="199">
        <f>'入力表'!I61</f>
        <v>2</v>
      </c>
      <c r="M10" s="199" t="s">
        <v>79</v>
      </c>
    </row>
    <row r="11" spans="2:9" s="199" customFormat="1" ht="15" customHeight="1">
      <c r="B11" s="196" t="s">
        <v>333</v>
      </c>
      <c r="C11" s="196" t="s">
        <v>210</v>
      </c>
      <c r="D11" s="426">
        <f>C8*L10</f>
        <v>500</v>
      </c>
      <c r="E11" s="426"/>
      <c r="F11" s="154" t="s">
        <v>211</v>
      </c>
      <c r="G11" s="426">
        <f>C8*L10</f>
        <v>500</v>
      </c>
      <c r="H11" s="426"/>
      <c r="I11" s="199" t="s">
        <v>212</v>
      </c>
    </row>
    <row r="12" spans="2:5" s="199" customFormat="1" ht="15" customHeight="1">
      <c r="B12" s="196" t="s">
        <v>213</v>
      </c>
      <c r="C12" s="434">
        <f>ROUND(D11*G11,0)</f>
        <v>250000</v>
      </c>
      <c r="D12" s="434"/>
      <c r="E12" s="199" t="s">
        <v>331</v>
      </c>
    </row>
    <row r="13" s="199" customFormat="1" ht="15" customHeight="1">
      <c r="B13" s="199" t="s">
        <v>334</v>
      </c>
    </row>
    <row r="14" spans="2:12" s="199" customFormat="1" ht="15" customHeight="1">
      <c r="B14" s="196" t="s">
        <v>335</v>
      </c>
      <c r="C14" s="216" t="s">
        <v>336</v>
      </c>
      <c r="E14" s="196"/>
      <c r="F14" s="154"/>
      <c r="G14" s="154"/>
      <c r="H14" s="154"/>
      <c r="I14" s="154"/>
      <c r="J14" s="201"/>
      <c r="L14" s="154"/>
    </row>
    <row r="15" spans="2:8" s="199" customFormat="1" ht="15" customHeight="1">
      <c r="B15" s="196" t="s">
        <v>214</v>
      </c>
      <c r="C15" s="443">
        <f>ROUND(MIN((0.25+0.05*C12/C9),0.5)*I3*1.5,1)</f>
        <v>22.5</v>
      </c>
      <c r="D15" s="443"/>
      <c r="E15" s="426" t="s">
        <v>337</v>
      </c>
      <c r="F15" s="426"/>
      <c r="H15" s="198" t="s">
        <v>338</v>
      </c>
    </row>
    <row r="16" spans="3:6" s="199" customFormat="1" ht="15" customHeight="1">
      <c r="C16" s="182"/>
      <c r="D16" s="182"/>
      <c r="E16" s="173"/>
      <c r="F16" s="173"/>
    </row>
    <row r="17" spans="2:18" s="199" customFormat="1" ht="15" customHeight="1">
      <c r="B17" s="198" t="s">
        <v>339</v>
      </c>
      <c r="C17" s="216"/>
      <c r="P17" s="196"/>
      <c r="Q17" s="154"/>
      <c r="R17" s="154"/>
    </row>
    <row r="18" spans="2:18" s="199" customFormat="1" ht="15" customHeight="1">
      <c r="B18" s="196" t="s">
        <v>340</v>
      </c>
      <c r="C18" s="216" t="s">
        <v>341</v>
      </c>
      <c r="P18" s="196"/>
      <c r="Q18" s="154"/>
      <c r="R18" s="154"/>
    </row>
    <row r="19" spans="2:18" s="199" customFormat="1" ht="15" customHeight="1">
      <c r="B19" s="196" t="s">
        <v>202</v>
      </c>
      <c r="C19" s="443">
        <f>ROUND(P*1000/C9,1)</f>
        <v>18.9</v>
      </c>
      <c r="D19" s="443"/>
      <c r="E19" s="426" t="s">
        <v>342</v>
      </c>
      <c r="F19" s="426"/>
      <c r="G19" s="154" t="s">
        <v>215</v>
      </c>
      <c r="H19" s="443">
        <f>IF(C15&lt;(I3*1.5/2),C15,(I3*1.5/2))</f>
        <v>22.5</v>
      </c>
      <c r="I19" s="443"/>
      <c r="J19" s="199" t="s">
        <v>343</v>
      </c>
      <c r="M19" s="423" t="str">
        <f>IF(OR(C19&lt;H19,C19=H19),"ＯＫ","ＮＧ")</f>
        <v>ＯＫ</v>
      </c>
      <c r="N19" s="423"/>
      <c r="R19" s="154"/>
    </row>
    <row r="20" spans="16:18" s="199" customFormat="1" ht="15" customHeight="1">
      <c r="P20" s="196"/>
      <c r="Q20" s="154"/>
      <c r="R20" s="154"/>
    </row>
    <row r="21" spans="9:16" s="199" customFormat="1" ht="15" customHeight="1">
      <c r="I21" s="153" t="s">
        <v>523</v>
      </c>
      <c r="J21" s="450">
        <f>'入力表'!I62</f>
        <v>1.5</v>
      </c>
      <c r="K21" s="450"/>
      <c r="L21" s="426" t="s">
        <v>344</v>
      </c>
      <c r="M21" s="426"/>
      <c r="N21" s="199" t="s">
        <v>345</v>
      </c>
      <c r="O21" s="196"/>
      <c r="P21" s="154"/>
    </row>
    <row r="22" spans="2:18" s="199" customFormat="1" ht="15" customHeight="1">
      <c r="B22" s="198" t="s">
        <v>346</v>
      </c>
      <c r="I22" s="154"/>
      <c r="J22" s="154"/>
      <c r="K22" s="154"/>
      <c r="M22" s="154"/>
      <c r="N22" s="154"/>
      <c r="P22" s="196"/>
      <c r="Q22" s="154"/>
      <c r="R22" s="154"/>
    </row>
    <row r="23" spans="2:18" s="199" customFormat="1" ht="15" customHeight="1">
      <c r="B23" s="196"/>
      <c r="G23" s="196" t="s">
        <v>524</v>
      </c>
      <c r="H23" s="261">
        <f>1000*P/J21</f>
        <v>592000</v>
      </c>
      <c r="I23" s="262"/>
      <c r="J23" s="199" t="s">
        <v>347</v>
      </c>
      <c r="P23" s="196"/>
      <c r="Q23" s="263"/>
      <c r="R23" s="263"/>
    </row>
    <row r="24" spans="2:18" s="199" customFormat="1" ht="15" customHeight="1">
      <c r="B24" s="199" t="s">
        <v>81</v>
      </c>
      <c r="G24" s="196"/>
      <c r="H24" s="261"/>
      <c r="I24" s="262"/>
      <c r="P24" s="196"/>
      <c r="Q24" s="263"/>
      <c r="R24" s="263"/>
    </row>
    <row r="25" spans="3:17" ht="30" customHeight="1">
      <c r="C25" s="489" t="s">
        <v>527</v>
      </c>
      <c r="D25" s="489"/>
      <c r="E25" s="489"/>
      <c r="F25" s="489"/>
      <c r="G25" s="489"/>
      <c r="H25" s="489"/>
      <c r="I25" s="489"/>
      <c r="J25" s="489"/>
      <c r="K25" s="489"/>
      <c r="L25" s="489"/>
      <c r="M25" s="489"/>
      <c r="N25" s="489"/>
      <c r="O25" s="489"/>
      <c r="P25" s="489"/>
      <c r="Q25" s="489"/>
    </row>
    <row r="27" spans="7:9" ht="13.5" customHeight="1">
      <c r="G27" s="264"/>
      <c r="H27" s="264"/>
      <c r="I27" s="264"/>
    </row>
    <row r="28" ht="16.5" customHeight="1">
      <c r="H28" s="264"/>
    </row>
    <row r="29" ht="13.5" customHeight="1"/>
    <row r="30" ht="12.75"/>
    <row r="31" ht="12.75"/>
    <row r="32" ht="12.75"/>
    <row r="33" ht="12.75"/>
    <row r="34" ht="12.75"/>
    <row r="35" ht="12.75"/>
    <row r="36" ht="12.75"/>
    <row r="37" spans="7:9" ht="12.75">
      <c r="G37" s="264"/>
      <c r="H37" s="264"/>
      <c r="I37" s="264"/>
    </row>
    <row r="38" ht="12.75"/>
    <row r="39" ht="12.75"/>
    <row r="40" ht="12.75"/>
    <row r="41" ht="12.75"/>
    <row r="42" ht="12.75"/>
    <row r="43" ht="12.75">
      <c r="D43" s="264"/>
    </row>
    <row r="44" ht="12.75"/>
    <row r="45" ht="12.75"/>
    <row r="46" ht="12.75"/>
    <row r="47" ht="12.75"/>
    <row r="48" ht="12.75"/>
    <row r="49" ht="12.75">
      <c r="C49" s="265"/>
    </row>
    <row r="51" spans="2:16" s="199" customFormat="1" ht="15" customHeight="1">
      <c r="B51" s="196" t="s">
        <v>348</v>
      </c>
      <c r="C51" s="426">
        <f>F6</f>
        <v>250</v>
      </c>
      <c r="D51" s="426"/>
      <c r="E51" s="154" t="s">
        <v>349</v>
      </c>
      <c r="F51" s="426">
        <f>I5</f>
        <v>850</v>
      </c>
      <c r="G51" s="426"/>
      <c r="H51" s="182" t="s">
        <v>349</v>
      </c>
      <c r="I51" s="173">
        <v>4</v>
      </c>
      <c r="J51" s="266" t="s">
        <v>350</v>
      </c>
      <c r="K51" s="154" t="s">
        <v>351</v>
      </c>
      <c r="L51" s="154" t="s">
        <v>349</v>
      </c>
      <c r="M51" s="426">
        <f>F51</f>
        <v>850</v>
      </c>
      <c r="N51" s="426"/>
      <c r="O51" s="154" t="s">
        <v>349</v>
      </c>
      <c r="P51" s="173">
        <f>F51</f>
        <v>850</v>
      </c>
    </row>
    <row r="52" spans="2:14" s="199" customFormat="1" ht="15" customHeight="1">
      <c r="B52" s="196" t="s">
        <v>5</v>
      </c>
      <c r="C52" s="426">
        <f>ROUND(C51*F51*4+PI()*M51*P51,0)</f>
        <v>3119801</v>
      </c>
      <c r="D52" s="426"/>
      <c r="E52" s="426"/>
      <c r="F52" s="199" t="s">
        <v>352</v>
      </c>
      <c r="G52" s="154" t="s">
        <v>13</v>
      </c>
      <c r="H52" s="433">
        <f>H23</f>
        <v>592000</v>
      </c>
      <c r="I52" s="433"/>
      <c r="J52" s="433"/>
      <c r="K52" s="199" t="s">
        <v>352</v>
      </c>
      <c r="M52" s="423" t="str">
        <f>IF(OR(C52&gt;H52,C52=H52),"ＯＫ","ＮＧ")</f>
        <v>ＯＫ</v>
      </c>
      <c r="N52" s="423"/>
    </row>
    <row r="53" s="199" customFormat="1" ht="15" customHeight="1"/>
    <row r="72" spans="2:13" ht="12.75">
      <c r="B72" s="194"/>
      <c r="C72" s="267"/>
      <c r="D72" s="268"/>
      <c r="G72" s="264"/>
      <c r="H72" s="269"/>
      <c r="I72" s="268"/>
      <c r="L72" s="270"/>
      <c r="M72" s="268"/>
    </row>
    <row r="73" spans="2:3" ht="12.75">
      <c r="B73" s="194"/>
      <c r="C73" s="271"/>
    </row>
    <row r="74" spans="2:3" ht="12.75">
      <c r="B74" s="194"/>
      <c r="C74" s="271"/>
    </row>
    <row r="78" spans="2:3" ht="12.75">
      <c r="B78" s="194"/>
      <c r="C78" s="271"/>
    </row>
    <row r="79" spans="2:12" ht="12.75">
      <c r="B79" s="194"/>
      <c r="C79" s="271"/>
      <c r="D79" s="264"/>
      <c r="E79" s="264"/>
      <c r="G79" s="272"/>
      <c r="H79" s="264"/>
      <c r="K79" s="264"/>
      <c r="L79" s="264"/>
    </row>
    <row r="80" spans="2:3" ht="12.75">
      <c r="B80" s="194"/>
      <c r="C80" s="271"/>
    </row>
    <row r="81" spans="2:12" ht="12.75">
      <c r="B81" s="194"/>
      <c r="C81" s="271"/>
      <c r="D81" s="264"/>
      <c r="E81" s="264"/>
      <c r="G81" s="264"/>
      <c r="H81" s="264"/>
      <c r="I81" s="195"/>
      <c r="K81" s="273"/>
      <c r="L81" s="273"/>
    </row>
    <row r="82" spans="2:13" ht="12.75">
      <c r="B82" s="194"/>
      <c r="C82" s="271"/>
      <c r="D82" s="264"/>
      <c r="E82" s="264"/>
      <c r="G82" s="274"/>
      <c r="H82" s="274"/>
      <c r="I82" s="195"/>
      <c r="L82" s="273"/>
      <c r="M82" s="273"/>
    </row>
    <row r="83" spans="2:5" ht="12.75">
      <c r="B83" s="194"/>
      <c r="D83" s="264"/>
      <c r="E83" s="264"/>
    </row>
    <row r="84" spans="2:13" ht="12.75">
      <c r="B84" s="194"/>
      <c r="C84" s="271"/>
      <c r="D84" s="264"/>
      <c r="E84" s="264"/>
      <c r="G84" s="274"/>
      <c r="H84" s="274"/>
      <c r="I84" s="195"/>
      <c r="L84" s="273"/>
      <c r="M84" s="273"/>
    </row>
    <row r="85" spans="5:6" ht="12.75">
      <c r="E85" s="194"/>
      <c r="F85" s="122"/>
    </row>
    <row r="86" ht="12.75">
      <c r="E86" s="194"/>
    </row>
    <row r="87" spans="5:9" ht="12.75">
      <c r="E87" s="194"/>
      <c r="F87" s="122"/>
      <c r="G87" s="264"/>
      <c r="H87" s="264"/>
      <c r="I87" s="194"/>
    </row>
    <row r="88" spans="5:9" ht="12.75">
      <c r="E88" s="194"/>
      <c r="F88" s="194"/>
      <c r="I88" s="275"/>
    </row>
    <row r="89" spans="5:9" ht="12.75">
      <c r="E89" s="194"/>
      <c r="F89" s="121"/>
      <c r="H89" s="121"/>
      <c r="I89" s="194"/>
    </row>
    <row r="90" spans="5:9" ht="12.75">
      <c r="E90" s="194"/>
      <c r="F90" s="122"/>
      <c r="H90" s="121"/>
      <c r="I90" s="194"/>
    </row>
    <row r="91" spans="5:9" ht="12.75">
      <c r="E91" s="194"/>
      <c r="I91" s="194"/>
    </row>
  </sheetData>
  <sheetProtection sheet="1" objects="1" scenarios="1"/>
  <mergeCells count="23">
    <mergeCell ref="I4:J4"/>
    <mergeCell ref="D8:E8"/>
    <mergeCell ref="C9:D9"/>
    <mergeCell ref="D11:E11"/>
    <mergeCell ref="G11:H11"/>
    <mergeCell ref="I5:J5"/>
    <mergeCell ref="C12:D12"/>
    <mergeCell ref="B10:K10"/>
    <mergeCell ref="C15:D15"/>
    <mergeCell ref="E15:F15"/>
    <mergeCell ref="C19:D19"/>
    <mergeCell ref="E19:F19"/>
    <mergeCell ref="H19:I19"/>
    <mergeCell ref="M19:N19"/>
    <mergeCell ref="J21:K21"/>
    <mergeCell ref="L21:M21"/>
    <mergeCell ref="C52:E52"/>
    <mergeCell ref="C25:Q25"/>
    <mergeCell ref="F51:G51"/>
    <mergeCell ref="M51:N51"/>
    <mergeCell ref="C51:D51"/>
    <mergeCell ref="H52:J52"/>
    <mergeCell ref="M52:N52"/>
  </mergeCells>
  <printOptions/>
  <pageMargins left="0.98425196850393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神鋼鋼線工業（株）　ｹｰﾌﾞﾙ技術部</dc:creator>
  <cp:keywords/>
  <dc:description/>
  <cp:lastModifiedBy>m.matsumoto</cp:lastModifiedBy>
  <cp:lastPrinted>2012-09-06T04:13:31Z</cp:lastPrinted>
  <dcterms:created xsi:type="dcterms:W3CDTF">1997-07-25T06:46:53Z</dcterms:created>
  <dcterms:modified xsi:type="dcterms:W3CDTF">2012-09-06T05:19:22Z</dcterms:modified>
  <cp:category/>
  <cp:version/>
  <cp:contentType/>
  <cp:contentStatus/>
</cp:coreProperties>
</file>